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Z:\Planning\_AM_CIP\CIP\Program\2018 CIP\_2018 CIP FINAL DOCUMENTS\Excel File\"/>
    </mc:Choice>
  </mc:AlternateContent>
  <bookViews>
    <workbookView xWindow="0" yWindow="0" windowWidth="20520" windowHeight="9015" tabRatio="880"/>
  </bookViews>
  <sheets>
    <sheet name="Projects" sheetId="2" r:id="rId1"/>
    <sheet name="Phases" sheetId="3" r:id="rId2"/>
  </sheets>
  <definedNames>
    <definedName name="Difficulties" localSheetId="0">Projects!#REF!</definedName>
    <definedName name="_xlnm.Print_Area" localSheetId="1">Phases!$A:$AB</definedName>
    <definedName name="_xlnm.Print_Titles" localSheetId="1">Phases!$1:$1</definedName>
    <definedName name="TotalSewerCIP">#REF!</definedName>
    <definedName name="TotalWaterCIP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2" i="3" l="1"/>
  <c r="U232" i="3"/>
  <c r="T232" i="3"/>
  <c r="S232" i="3"/>
  <c r="R232" i="3"/>
  <c r="Q232" i="3"/>
  <c r="O232" i="3"/>
  <c r="X231" i="3"/>
  <c r="W231" i="3"/>
  <c r="I231" i="3"/>
  <c r="H231" i="3"/>
  <c r="G231" i="3"/>
  <c r="E231" i="3"/>
  <c r="D231" i="3"/>
  <c r="X230" i="3"/>
  <c r="W230" i="3"/>
  <c r="I230" i="3"/>
  <c r="H230" i="3"/>
  <c r="G230" i="3"/>
  <c r="E230" i="3"/>
  <c r="D230" i="3"/>
  <c r="X229" i="3"/>
  <c r="W229" i="3"/>
  <c r="I229" i="3"/>
  <c r="H229" i="3"/>
  <c r="G229" i="3"/>
  <c r="E229" i="3"/>
  <c r="D229" i="3"/>
  <c r="X228" i="3"/>
  <c r="W228" i="3"/>
  <c r="I228" i="3"/>
  <c r="H228" i="3"/>
  <c r="G228" i="3"/>
  <c r="E228" i="3"/>
  <c r="D228" i="3"/>
  <c r="X227" i="3"/>
  <c r="W227" i="3"/>
  <c r="I227" i="3"/>
  <c r="H227" i="3"/>
  <c r="G227" i="3"/>
  <c r="E227" i="3"/>
  <c r="D227" i="3"/>
  <c r="X226" i="3"/>
  <c r="W226" i="3"/>
  <c r="I226" i="3"/>
  <c r="H226" i="3"/>
  <c r="G226" i="3"/>
  <c r="E226" i="3"/>
  <c r="D226" i="3"/>
  <c r="X224" i="3"/>
  <c r="W224" i="3"/>
  <c r="I224" i="3"/>
  <c r="H224" i="3"/>
  <c r="G224" i="3"/>
  <c r="E224" i="3"/>
  <c r="D224" i="3"/>
  <c r="X225" i="3"/>
  <c r="W225" i="3"/>
  <c r="I225" i="3"/>
  <c r="H225" i="3"/>
  <c r="G225" i="3"/>
  <c r="E225" i="3"/>
  <c r="D225" i="3"/>
  <c r="X223" i="3"/>
  <c r="W223" i="3"/>
  <c r="I223" i="3"/>
  <c r="H223" i="3"/>
  <c r="G223" i="3"/>
  <c r="E223" i="3"/>
  <c r="D223" i="3"/>
  <c r="X220" i="3"/>
  <c r="W220" i="3"/>
  <c r="I220" i="3"/>
  <c r="H220" i="3"/>
  <c r="G220" i="3"/>
  <c r="E220" i="3"/>
  <c r="D220" i="3"/>
  <c r="X222" i="3"/>
  <c r="W222" i="3"/>
  <c r="I222" i="3"/>
  <c r="H222" i="3"/>
  <c r="G222" i="3"/>
  <c r="E222" i="3"/>
  <c r="D222" i="3"/>
  <c r="X221" i="3"/>
  <c r="W221" i="3"/>
  <c r="I221" i="3"/>
  <c r="H221" i="3"/>
  <c r="G221" i="3"/>
  <c r="E221" i="3"/>
  <c r="D221" i="3"/>
  <c r="X219" i="3"/>
  <c r="W219" i="3"/>
  <c r="I219" i="3"/>
  <c r="H219" i="3"/>
  <c r="G219" i="3"/>
  <c r="E219" i="3"/>
  <c r="D219" i="3"/>
  <c r="X218" i="3"/>
  <c r="W218" i="3"/>
  <c r="I218" i="3"/>
  <c r="H218" i="3"/>
  <c r="G218" i="3"/>
  <c r="E218" i="3"/>
  <c r="D218" i="3"/>
  <c r="X217" i="3"/>
  <c r="I217" i="3"/>
  <c r="H217" i="3"/>
  <c r="G217" i="3"/>
  <c r="E217" i="3"/>
  <c r="D217" i="3"/>
  <c r="X216" i="3"/>
  <c r="W216" i="3"/>
  <c r="I216" i="3"/>
  <c r="H216" i="3"/>
  <c r="G216" i="3"/>
  <c r="E216" i="3"/>
  <c r="D216" i="3"/>
  <c r="X215" i="3"/>
  <c r="W215" i="3"/>
  <c r="I215" i="3"/>
  <c r="H215" i="3"/>
  <c r="G215" i="3"/>
  <c r="E215" i="3"/>
  <c r="D215" i="3"/>
  <c r="X214" i="3"/>
  <c r="W214" i="3"/>
  <c r="I214" i="3"/>
  <c r="H214" i="3"/>
  <c r="G214" i="3"/>
  <c r="E214" i="3"/>
  <c r="D214" i="3"/>
  <c r="X213" i="3"/>
  <c r="W213" i="3"/>
  <c r="I213" i="3"/>
  <c r="H213" i="3"/>
  <c r="G213" i="3"/>
  <c r="E213" i="3"/>
  <c r="D213" i="3"/>
  <c r="X212" i="3"/>
  <c r="W212" i="3"/>
  <c r="I212" i="3"/>
  <c r="H212" i="3"/>
  <c r="G212" i="3"/>
  <c r="E212" i="3"/>
  <c r="D212" i="3"/>
  <c r="X211" i="3"/>
  <c r="W211" i="3"/>
  <c r="I211" i="3"/>
  <c r="H211" i="3"/>
  <c r="G211" i="3"/>
  <c r="E211" i="3"/>
  <c r="D211" i="3"/>
  <c r="X210" i="3"/>
  <c r="W210" i="3"/>
  <c r="I210" i="3"/>
  <c r="H210" i="3"/>
  <c r="G210" i="3"/>
  <c r="E210" i="3"/>
  <c r="D210" i="3"/>
  <c r="X209" i="3"/>
  <c r="W209" i="3"/>
  <c r="I209" i="3"/>
  <c r="H209" i="3"/>
  <c r="G209" i="3"/>
  <c r="E209" i="3"/>
  <c r="D209" i="3"/>
  <c r="X208" i="3"/>
  <c r="W208" i="3"/>
  <c r="I208" i="3"/>
  <c r="H208" i="3"/>
  <c r="G208" i="3"/>
  <c r="E208" i="3"/>
  <c r="D208" i="3"/>
  <c r="X207" i="3"/>
  <c r="W207" i="3"/>
  <c r="I207" i="3"/>
  <c r="H207" i="3"/>
  <c r="G207" i="3"/>
  <c r="E207" i="3"/>
  <c r="D207" i="3"/>
  <c r="X206" i="3"/>
  <c r="W206" i="3"/>
  <c r="I206" i="3"/>
  <c r="H206" i="3"/>
  <c r="G206" i="3"/>
  <c r="E206" i="3"/>
  <c r="D206" i="3"/>
  <c r="X205" i="3"/>
  <c r="W205" i="3"/>
  <c r="I205" i="3"/>
  <c r="H205" i="3"/>
  <c r="G205" i="3"/>
  <c r="E205" i="3"/>
  <c r="D205" i="3"/>
  <c r="X203" i="3"/>
  <c r="W203" i="3"/>
  <c r="I203" i="3"/>
  <c r="H203" i="3"/>
  <c r="G203" i="3"/>
  <c r="E203" i="3"/>
  <c r="D203" i="3"/>
  <c r="X202" i="3"/>
  <c r="W202" i="3"/>
  <c r="I202" i="3"/>
  <c r="H202" i="3"/>
  <c r="G202" i="3"/>
  <c r="E202" i="3"/>
  <c r="D202" i="3"/>
  <c r="X204" i="3"/>
  <c r="W204" i="3"/>
  <c r="I204" i="3"/>
  <c r="H204" i="3"/>
  <c r="G204" i="3"/>
  <c r="E204" i="3"/>
  <c r="D204" i="3"/>
  <c r="X199" i="3"/>
  <c r="W199" i="3"/>
  <c r="I199" i="3"/>
  <c r="H199" i="3"/>
  <c r="G199" i="3"/>
  <c r="E199" i="3"/>
  <c r="D199" i="3"/>
  <c r="X201" i="3"/>
  <c r="W201" i="3"/>
  <c r="I201" i="3"/>
  <c r="H201" i="3"/>
  <c r="G201" i="3"/>
  <c r="E201" i="3"/>
  <c r="D201" i="3"/>
  <c r="X200" i="3"/>
  <c r="W200" i="3"/>
  <c r="I200" i="3"/>
  <c r="H200" i="3"/>
  <c r="G200" i="3"/>
  <c r="E200" i="3"/>
  <c r="D200" i="3"/>
  <c r="X198" i="3"/>
  <c r="W198" i="3"/>
  <c r="I198" i="3"/>
  <c r="H198" i="3"/>
  <c r="G198" i="3"/>
  <c r="E198" i="3"/>
  <c r="D198" i="3"/>
  <c r="X197" i="3"/>
  <c r="W197" i="3"/>
  <c r="I197" i="3"/>
  <c r="H197" i="3"/>
  <c r="G197" i="3"/>
  <c r="E197" i="3"/>
  <c r="D197" i="3"/>
  <c r="X196" i="3"/>
  <c r="W196" i="3"/>
  <c r="I196" i="3"/>
  <c r="H196" i="3"/>
  <c r="G196" i="3"/>
  <c r="E196" i="3"/>
  <c r="D196" i="3"/>
  <c r="X195" i="3"/>
  <c r="W195" i="3"/>
  <c r="I195" i="3"/>
  <c r="H195" i="3"/>
  <c r="G195" i="3"/>
  <c r="E195" i="3"/>
  <c r="D195" i="3"/>
  <c r="X194" i="3"/>
  <c r="W194" i="3"/>
  <c r="I194" i="3"/>
  <c r="H194" i="3"/>
  <c r="G194" i="3"/>
  <c r="E194" i="3"/>
  <c r="D194" i="3"/>
  <c r="X193" i="3"/>
  <c r="W193" i="3"/>
  <c r="I193" i="3"/>
  <c r="H193" i="3"/>
  <c r="G193" i="3"/>
  <c r="E193" i="3"/>
  <c r="D193" i="3"/>
  <c r="X191" i="3"/>
  <c r="W191" i="3"/>
  <c r="I191" i="3"/>
  <c r="H191" i="3"/>
  <c r="G191" i="3"/>
  <c r="E191" i="3"/>
  <c r="D191" i="3"/>
  <c r="X192" i="3"/>
  <c r="W192" i="3"/>
  <c r="I192" i="3"/>
  <c r="H192" i="3"/>
  <c r="G192" i="3"/>
  <c r="E192" i="3"/>
  <c r="D192" i="3"/>
  <c r="X189" i="3"/>
  <c r="W189" i="3"/>
  <c r="I189" i="3"/>
  <c r="H189" i="3"/>
  <c r="G189" i="3"/>
  <c r="E189" i="3"/>
  <c r="D189" i="3"/>
  <c r="X190" i="3"/>
  <c r="W190" i="3"/>
  <c r="I190" i="3"/>
  <c r="H190" i="3"/>
  <c r="G190" i="3"/>
  <c r="E190" i="3"/>
  <c r="D190" i="3"/>
  <c r="X182" i="3"/>
  <c r="W182" i="3"/>
  <c r="I182" i="3"/>
  <c r="H182" i="3"/>
  <c r="G182" i="3"/>
  <c r="E182" i="3"/>
  <c r="D182" i="3"/>
  <c r="X188" i="3"/>
  <c r="W188" i="3"/>
  <c r="I188" i="3"/>
  <c r="H188" i="3"/>
  <c r="G188" i="3"/>
  <c r="E188" i="3"/>
  <c r="D188" i="3"/>
  <c r="X184" i="3"/>
  <c r="W184" i="3"/>
  <c r="I184" i="3"/>
  <c r="H184" i="3"/>
  <c r="G184" i="3"/>
  <c r="E184" i="3"/>
  <c r="D184" i="3"/>
  <c r="X187" i="3"/>
  <c r="W187" i="3"/>
  <c r="I187" i="3"/>
  <c r="H187" i="3"/>
  <c r="G187" i="3"/>
  <c r="E187" i="3"/>
  <c r="D187" i="3"/>
  <c r="X186" i="3"/>
  <c r="W186" i="3"/>
  <c r="I186" i="3"/>
  <c r="H186" i="3"/>
  <c r="G186" i="3"/>
  <c r="E186" i="3"/>
  <c r="D186" i="3"/>
  <c r="X183" i="3"/>
  <c r="W183" i="3"/>
  <c r="I183" i="3"/>
  <c r="H183" i="3"/>
  <c r="G183" i="3"/>
  <c r="E183" i="3"/>
  <c r="D183" i="3"/>
  <c r="X185" i="3"/>
  <c r="W185" i="3"/>
  <c r="I185" i="3"/>
  <c r="H185" i="3"/>
  <c r="G185" i="3"/>
  <c r="E185" i="3"/>
  <c r="D185" i="3"/>
  <c r="X180" i="3"/>
  <c r="W180" i="3"/>
  <c r="I180" i="3"/>
  <c r="H180" i="3"/>
  <c r="G180" i="3"/>
  <c r="E180" i="3"/>
  <c r="D180" i="3"/>
  <c r="X181" i="3"/>
  <c r="W181" i="3"/>
  <c r="I181" i="3"/>
  <c r="H181" i="3"/>
  <c r="G181" i="3"/>
  <c r="E181" i="3"/>
  <c r="D181" i="3"/>
  <c r="X178" i="3"/>
  <c r="W178" i="3"/>
  <c r="I178" i="3"/>
  <c r="H178" i="3"/>
  <c r="G178" i="3"/>
  <c r="E178" i="3"/>
  <c r="D178" i="3"/>
  <c r="X179" i="3"/>
  <c r="W179" i="3"/>
  <c r="I179" i="3"/>
  <c r="H179" i="3"/>
  <c r="G179" i="3"/>
  <c r="E179" i="3"/>
  <c r="D179" i="3"/>
  <c r="X176" i="3"/>
  <c r="W176" i="3"/>
  <c r="I176" i="3"/>
  <c r="H176" i="3"/>
  <c r="G176" i="3"/>
  <c r="E176" i="3"/>
  <c r="D176" i="3"/>
  <c r="X177" i="3"/>
  <c r="W177" i="3"/>
  <c r="I177" i="3"/>
  <c r="H177" i="3"/>
  <c r="G177" i="3"/>
  <c r="E177" i="3"/>
  <c r="D177" i="3"/>
  <c r="X175" i="3"/>
  <c r="W175" i="3"/>
  <c r="I175" i="3"/>
  <c r="H175" i="3"/>
  <c r="G175" i="3"/>
  <c r="E175" i="3"/>
  <c r="D175" i="3"/>
  <c r="X174" i="3"/>
  <c r="W174" i="3"/>
  <c r="I174" i="3"/>
  <c r="H174" i="3"/>
  <c r="G174" i="3"/>
  <c r="E174" i="3"/>
  <c r="D174" i="3"/>
  <c r="X173" i="3"/>
  <c r="W173" i="3"/>
  <c r="I173" i="3"/>
  <c r="H173" i="3"/>
  <c r="G173" i="3"/>
  <c r="E173" i="3"/>
  <c r="D173" i="3"/>
  <c r="X172" i="3"/>
  <c r="W172" i="3"/>
  <c r="I172" i="3"/>
  <c r="H172" i="3"/>
  <c r="G172" i="3"/>
  <c r="E172" i="3"/>
  <c r="D172" i="3"/>
  <c r="X171" i="3"/>
  <c r="W171" i="3"/>
  <c r="U171" i="3"/>
  <c r="T171" i="3"/>
  <c r="S171" i="3"/>
  <c r="R171" i="3"/>
  <c r="Q171" i="3"/>
  <c r="I171" i="3"/>
  <c r="H171" i="3"/>
  <c r="G171" i="3"/>
  <c r="E171" i="3"/>
  <c r="D171" i="3"/>
  <c r="X169" i="3"/>
  <c r="W169" i="3"/>
  <c r="I169" i="3"/>
  <c r="H169" i="3"/>
  <c r="G169" i="3"/>
  <c r="E169" i="3"/>
  <c r="D169" i="3"/>
  <c r="X170" i="3"/>
  <c r="W170" i="3"/>
  <c r="I170" i="3"/>
  <c r="H170" i="3"/>
  <c r="G170" i="3"/>
  <c r="E170" i="3"/>
  <c r="D170" i="3"/>
  <c r="X168" i="3"/>
  <c r="W168" i="3"/>
  <c r="I168" i="3"/>
  <c r="H168" i="3"/>
  <c r="G168" i="3"/>
  <c r="E168" i="3"/>
  <c r="D168" i="3"/>
  <c r="X167" i="3"/>
  <c r="W167" i="3"/>
  <c r="I167" i="3"/>
  <c r="H167" i="3"/>
  <c r="G167" i="3"/>
  <c r="E167" i="3"/>
  <c r="D167" i="3"/>
  <c r="X166" i="3"/>
  <c r="W166" i="3"/>
  <c r="I166" i="3"/>
  <c r="H166" i="3"/>
  <c r="G166" i="3"/>
  <c r="E166" i="3"/>
  <c r="D166" i="3"/>
  <c r="X165" i="3"/>
  <c r="W165" i="3"/>
  <c r="I165" i="3"/>
  <c r="H165" i="3"/>
  <c r="G165" i="3"/>
  <c r="E165" i="3"/>
  <c r="D165" i="3"/>
  <c r="X164" i="3"/>
  <c r="W164" i="3"/>
  <c r="I164" i="3"/>
  <c r="H164" i="3"/>
  <c r="G164" i="3"/>
  <c r="E164" i="3"/>
  <c r="D164" i="3"/>
  <c r="X163" i="3"/>
  <c r="W163" i="3"/>
  <c r="I163" i="3"/>
  <c r="H163" i="3"/>
  <c r="G163" i="3"/>
  <c r="E163" i="3"/>
  <c r="D163" i="3"/>
  <c r="X162" i="3"/>
  <c r="W162" i="3"/>
  <c r="I162" i="3"/>
  <c r="H162" i="3"/>
  <c r="G162" i="3"/>
  <c r="E162" i="3"/>
  <c r="D162" i="3"/>
  <c r="X161" i="3"/>
  <c r="W161" i="3"/>
  <c r="I161" i="3"/>
  <c r="H161" i="3"/>
  <c r="G161" i="3"/>
  <c r="E161" i="3"/>
  <c r="D161" i="3"/>
  <c r="X160" i="3"/>
  <c r="W160" i="3"/>
  <c r="I160" i="3"/>
  <c r="H160" i="3"/>
  <c r="G160" i="3"/>
  <c r="E160" i="3"/>
  <c r="D160" i="3"/>
  <c r="X159" i="3"/>
  <c r="W159" i="3"/>
  <c r="I159" i="3"/>
  <c r="H159" i="3"/>
  <c r="G159" i="3"/>
  <c r="E159" i="3"/>
  <c r="D159" i="3"/>
  <c r="X158" i="3"/>
  <c r="W158" i="3"/>
  <c r="I158" i="3"/>
  <c r="H158" i="3"/>
  <c r="G158" i="3"/>
  <c r="E158" i="3"/>
  <c r="D158" i="3"/>
  <c r="X157" i="3"/>
  <c r="W157" i="3"/>
  <c r="I157" i="3"/>
  <c r="H157" i="3"/>
  <c r="G157" i="3"/>
  <c r="E157" i="3"/>
  <c r="D157" i="3"/>
  <c r="X156" i="3"/>
  <c r="W156" i="3"/>
  <c r="I156" i="3"/>
  <c r="H156" i="3"/>
  <c r="G156" i="3"/>
  <c r="E156" i="3"/>
  <c r="D156" i="3"/>
  <c r="X154" i="3"/>
  <c r="W154" i="3"/>
  <c r="I154" i="3"/>
  <c r="H154" i="3"/>
  <c r="G154" i="3"/>
  <c r="E154" i="3"/>
  <c r="D154" i="3"/>
  <c r="X153" i="3"/>
  <c r="W153" i="3"/>
  <c r="I153" i="3"/>
  <c r="H153" i="3"/>
  <c r="G153" i="3"/>
  <c r="E153" i="3"/>
  <c r="D153" i="3"/>
  <c r="X155" i="3"/>
  <c r="W155" i="3"/>
  <c r="I155" i="3"/>
  <c r="H155" i="3"/>
  <c r="G155" i="3"/>
  <c r="E155" i="3"/>
  <c r="D155" i="3"/>
  <c r="X151" i="3"/>
  <c r="W151" i="3"/>
  <c r="I151" i="3"/>
  <c r="H151" i="3"/>
  <c r="G151" i="3"/>
  <c r="E151" i="3"/>
  <c r="D151" i="3"/>
  <c r="X152" i="3"/>
  <c r="W152" i="3"/>
  <c r="I152" i="3"/>
  <c r="H152" i="3"/>
  <c r="G152" i="3"/>
  <c r="E152" i="3"/>
  <c r="D152" i="3"/>
  <c r="X149" i="3"/>
  <c r="W149" i="3"/>
  <c r="I149" i="3"/>
  <c r="H149" i="3"/>
  <c r="G149" i="3"/>
  <c r="E149" i="3"/>
  <c r="D149" i="3"/>
  <c r="X150" i="3"/>
  <c r="W150" i="3"/>
  <c r="I150" i="3"/>
  <c r="H150" i="3"/>
  <c r="G150" i="3"/>
  <c r="E150" i="3"/>
  <c r="D150" i="3"/>
  <c r="X148" i="3"/>
  <c r="W148" i="3"/>
  <c r="I148" i="3"/>
  <c r="H148" i="3"/>
  <c r="G148" i="3"/>
  <c r="E148" i="3"/>
  <c r="D148" i="3"/>
  <c r="X147" i="3"/>
  <c r="W147" i="3"/>
  <c r="I147" i="3"/>
  <c r="H147" i="3"/>
  <c r="G147" i="3"/>
  <c r="E147" i="3"/>
  <c r="D147" i="3"/>
  <c r="X146" i="3"/>
  <c r="W146" i="3"/>
  <c r="I146" i="3"/>
  <c r="H146" i="3"/>
  <c r="G146" i="3"/>
  <c r="E146" i="3"/>
  <c r="D146" i="3"/>
  <c r="X145" i="3"/>
  <c r="W145" i="3"/>
  <c r="I145" i="3"/>
  <c r="H145" i="3"/>
  <c r="G145" i="3"/>
  <c r="E145" i="3"/>
  <c r="D145" i="3"/>
  <c r="X144" i="3"/>
  <c r="W144" i="3"/>
  <c r="I144" i="3"/>
  <c r="H144" i="3"/>
  <c r="G144" i="3"/>
  <c r="E144" i="3"/>
  <c r="D144" i="3"/>
  <c r="X142" i="3"/>
  <c r="W142" i="3"/>
  <c r="I142" i="3"/>
  <c r="H142" i="3"/>
  <c r="G142" i="3"/>
  <c r="E142" i="3"/>
  <c r="D142" i="3"/>
  <c r="X143" i="3"/>
  <c r="W143" i="3"/>
  <c r="I143" i="3"/>
  <c r="H143" i="3"/>
  <c r="G143" i="3"/>
  <c r="E143" i="3"/>
  <c r="D143" i="3"/>
  <c r="X141" i="3"/>
  <c r="W141" i="3"/>
  <c r="I141" i="3"/>
  <c r="H141" i="3"/>
  <c r="G141" i="3"/>
  <c r="E141" i="3"/>
  <c r="D141" i="3"/>
  <c r="X140" i="3"/>
  <c r="W140" i="3"/>
  <c r="I140" i="3"/>
  <c r="H140" i="3"/>
  <c r="G140" i="3"/>
  <c r="E140" i="3"/>
  <c r="D140" i="3"/>
  <c r="X137" i="3"/>
  <c r="W137" i="3"/>
  <c r="I137" i="3"/>
  <c r="H137" i="3"/>
  <c r="G137" i="3"/>
  <c r="E137" i="3"/>
  <c r="D137" i="3"/>
  <c r="X139" i="3"/>
  <c r="W139" i="3"/>
  <c r="I139" i="3"/>
  <c r="H139" i="3"/>
  <c r="G139" i="3"/>
  <c r="E139" i="3"/>
  <c r="D139" i="3"/>
  <c r="X138" i="3"/>
  <c r="W138" i="3"/>
  <c r="I138" i="3"/>
  <c r="H138" i="3"/>
  <c r="G138" i="3"/>
  <c r="E138" i="3"/>
  <c r="D138" i="3"/>
  <c r="X136" i="3"/>
  <c r="W136" i="3"/>
  <c r="I136" i="3"/>
  <c r="H136" i="3"/>
  <c r="G136" i="3"/>
  <c r="E136" i="3"/>
  <c r="D136" i="3"/>
  <c r="X134" i="3"/>
  <c r="W134" i="3"/>
  <c r="I134" i="3"/>
  <c r="H134" i="3"/>
  <c r="G134" i="3"/>
  <c r="E134" i="3"/>
  <c r="D134" i="3"/>
  <c r="X135" i="3"/>
  <c r="W135" i="3"/>
  <c r="I135" i="3"/>
  <c r="H135" i="3"/>
  <c r="G135" i="3"/>
  <c r="E135" i="3"/>
  <c r="D135" i="3"/>
  <c r="X131" i="3"/>
  <c r="W131" i="3"/>
  <c r="I131" i="3"/>
  <c r="H131" i="3"/>
  <c r="G131" i="3"/>
  <c r="E131" i="3"/>
  <c r="D131" i="3"/>
  <c r="X132" i="3"/>
  <c r="W132" i="3"/>
  <c r="I132" i="3"/>
  <c r="H132" i="3"/>
  <c r="G132" i="3"/>
  <c r="E132" i="3"/>
  <c r="D132" i="3"/>
  <c r="X130" i="3"/>
  <c r="W130" i="3"/>
  <c r="I130" i="3"/>
  <c r="H130" i="3"/>
  <c r="G130" i="3"/>
  <c r="E130" i="3"/>
  <c r="D130" i="3"/>
  <c r="X133" i="3"/>
  <c r="W133" i="3"/>
  <c r="P133" i="3"/>
  <c r="I133" i="3"/>
  <c r="H133" i="3"/>
  <c r="G133" i="3"/>
  <c r="E133" i="3"/>
  <c r="D133" i="3"/>
  <c r="X128" i="3"/>
  <c r="W128" i="3"/>
  <c r="I128" i="3"/>
  <c r="H128" i="3"/>
  <c r="G128" i="3"/>
  <c r="E128" i="3"/>
  <c r="D128" i="3"/>
  <c r="X129" i="3"/>
  <c r="W129" i="3"/>
  <c r="I129" i="3"/>
  <c r="H129" i="3"/>
  <c r="G129" i="3"/>
  <c r="E129" i="3"/>
  <c r="D129" i="3"/>
  <c r="X126" i="3"/>
  <c r="W126" i="3"/>
  <c r="I126" i="3"/>
  <c r="H126" i="3"/>
  <c r="G126" i="3"/>
  <c r="E126" i="3"/>
  <c r="D126" i="3"/>
  <c r="X127" i="3"/>
  <c r="W127" i="3"/>
  <c r="I127" i="3"/>
  <c r="H127" i="3"/>
  <c r="G127" i="3"/>
  <c r="E127" i="3"/>
  <c r="D127" i="3"/>
  <c r="X125" i="3"/>
  <c r="W125" i="3"/>
  <c r="I125" i="3"/>
  <c r="H125" i="3"/>
  <c r="G125" i="3"/>
  <c r="E125" i="3"/>
  <c r="D125" i="3"/>
  <c r="X124" i="3"/>
  <c r="W124" i="3"/>
  <c r="I124" i="3"/>
  <c r="H124" i="3"/>
  <c r="G124" i="3"/>
  <c r="E124" i="3"/>
  <c r="D124" i="3"/>
  <c r="X123" i="3"/>
  <c r="W123" i="3"/>
  <c r="I123" i="3"/>
  <c r="H123" i="3"/>
  <c r="G123" i="3"/>
  <c r="E123" i="3"/>
  <c r="D123" i="3"/>
  <c r="X122" i="3"/>
  <c r="W122" i="3"/>
  <c r="I122" i="3"/>
  <c r="H122" i="3"/>
  <c r="G122" i="3"/>
  <c r="E122" i="3"/>
  <c r="D122" i="3"/>
  <c r="X121" i="3"/>
  <c r="W121" i="3"/>
  <c r="I121" i="3"/>
  <c r="H121" i="3"/>
  <c r="G121" i="3"/>
  <c r="E121" i="3"/>
  <c r="D121" i="3"/>
  <c r="X120" i="3"/>
  <c r="W120" i="3"/>
  <c r="I120" i="3"/>
  <c r="H120" i="3"/>
  <c r="G120" i="3"/>
  <c r="E120" i="3"/>
  <c r="D120" i="3"/>
  <c r="X117" i="3"/>
  <c r="W117" i="3"/>
  <c r="I117" i="3"/>
  <c r="H117" i="3"/>
  <c r="G117" i="3"/>
  <c r="E117" i="3"/>
  <c r="D117" i="3"/>
  <c r="X119" i="3"/>
  <c r="W119" i="3"/>
  <c r="I119" i="3"/>
  <c r="H119" i="3"/>
  <c r="G119" i="3"/>
  <c r="E119" i="3"/>
  <c r="D119" i="3"/>
  <c r="X118" i="3"/>
  <c r="W118" i="3"/>
  <c r="I118" i="3"/>
  <c r="H118" i="3"/>
  <c r="G118" i="3"/>
  <c r="E118" i="3"/>
  <c r="D118" i="3"/>
  <c r="X116" i="3"/>
  <c r="W116" i="3"/>
  <c r="I116" i="3"/>
  <c r="H116" i="3"/>
  <c r="G116" i="3"/>
  <c r="E116" i="3"/>
  <c r="D116" i="3"/>
  <c r="X114" i="3"/>
  <c r="W114" i="3"/>
  <c r="I114" i="3"/>
  <c r="H114" i="3"/>
  <c r="G114" i="3"/>
  <c r="E114" i="3"/>
  <c r="D114" i="3"/>
  <c r="X115" i="3"/>
  <c r="W115" i="3"/>
  <c r="I115" i="3"/>
  <c r="H115" i="3"/>
  <c r="G115" i="3"/>
  <c r="E115" i="3"/>
  <c r="D115" i="3"/>
  <c r="X113" i="3"/>
  <c r="W113" i="3"/>
  <c r="I113" i="3"/>
  <c r="H113" i="3"/>
  <c r="G113" i="3"/>
  <c r="E113" i="3"/>
  <c r="D113" i="3"/>
  <c r="X112" i="3"/>
  <c r="W112" i="3"/>
  <c r="I112" i="3"/>
  <c r="H112" i="3"/>
  <c r="G112" i="3"/>
  <c r="E112" i="3"/>
  <c r="D112" i="3"/>
  <c r="X110" i="3"/>
  <c r="W110" i="3"/>
  <c r="I110" i="3"/>
  <c r="H110" i="3"/>
  <c r="G110" i="3"/>
  <c r="E110" i="3"/>
  <c r="D110" i="3"/>
  <c r="X111" i="3"/>
  <c r="W111" i="3"/>
  <c r="I111" i="3"/>
  <c r="H111" i="3"/>
  <c r="G111" i="3"/>
  <c r="E111" i="3"/>
  <c r="D111" i="3"/>
  <c r="X109" i="3"/>
  <c r="W109" i="3"/>
  <c r="I109" i="3"/>
  <c r="H109" i="3"/>
  <c r="G109" i="3"/>
  <c r="E109" i="3"/>
  <c r="D109" i="3"/>
  <c r="X108" i="3"/>
  <c r="W108" i="3"/>
  <c r="I108" i="3"/>
  <c r="H108" i="3"/>
  <c r="G108" i="3"/>
  <c r="E108" i="3"/>
  <c r="D108" i="3"/>
  <c r="X107" i="3"/>
  <c r="W107" i="3"/>
  <c r="I107" i="3"/>
  <c r="H107" i="3"/>
  <c r="G107" i="3"/>
  <c r="E107" i="3"/>
  <c r="D107" i="3"/>
  <c r="X106" i="3"/>
  <c r="W106" i="3"/>
  <c r="I106" i="3"/>
  <c r="H106" i="3"/>
  <c r="G106" i="3"/>
  <c r="E106" i="3"/>
  <c r="D106" i="3"/>
  <c r="X105" i="3"/>
  <c r="W105" i="3"/>
  <c r="I105" i="3"/>
  <c r="H105" i="3"/>
  <c r="G105" i="3"/>
  <c r="E105" i="3"/>
  <c r="D105" i="3"/>
  <c r="X104" i="3"/>
  <c r="W104" i="3"/>
  <c r="I104" i="3"/>
  <c r="H104" i="3"/>
  <c r="G104" i="3"/>
  <c r="E104" i="3"/>
  <c r="D104" i="3"/>
  <c r="X103" i="3"/>
  <c r="W103" i="3"/>
  <c r="I103" i="3"/>
  <c r="H103" i="3"/>
  <c r="G103" i="3"/>
  <c r="E103" i="3"/>
  <c r="D103" i="3"/>
  <c r="X101" i="3"/>
  <c r="W101" i="3"/>
  <c r="I101" i="3"/>
  <c r="H101" i="3"/>
  <c r="G101" i="3"/>
  <c r="E101" i="3"/>
  <c r="D101" i="3"/>
  <c r="X102" i="3"/>
  <c r="W102" i="3"/>
  <c r="I102" i="3"/>
  <c r="H102" i="3"/>
  <c r="G102" i="3"/>
  <c r="E102" i="3"/>
  <c r="D102" i="3"/>
  <c r="X100" i="3"/>
  <c r="W100" i="3"/>
  <c r="I100" i="3"/>
  <c r="H100" i="3"/>
  <c r="G100" i="3"/>
  <c r="E100" i="3"/>
  <c r="D100" i="3"/>
  <c r="X99" i="3"/>
  <c r="W99" i="3"/>
  <c r="I99" i="3"/>
  <c r="H99" i="3"/>
  <c r="G99" i="3"/>
  <c r="E99" i="3"/>
  <c r="D99" i="3"/>
  <c r="X98" i="3"/>
  <c r="W98" i="3"/>
  <c r="I98" i="3"/>
  <c r="H98" i="3"/>
  <c r="G98" i="3"/>
  <c r="E98" i="3"/>
  <c r="D98" i="3"/>
  <c r="X97" i="3"/>
  <c r="W97" i="3"/>
  <c r="I97" i="3"/>
  <c r="H97" i="3"/>
  <c r="G97" i="3"/>
  <c r="E97" i="3"/>
  <c r="D97" i="3"/>
  <c r="X95" i="3"/>
  <c r="W95" i="3"/>
  <c r="I95" i="3"/>
  <c r="H95" i="3"/>
  <c r="G95" i="3"/>
  <c r="E95" i="3"/>
  <c r="D95" i="3"/>
  <c r="X96" i="3"/>
  <c r="W96" i="3"/>
  <c r="I96" i="3"/>
  <c r="H96" i="3"/>
  <c r="G96" i="3"/>
  <c r="E96" i="3"/>
  <c r="D96" i="3"/>
  <c r="X94" i="3"/>
  <c r="W94" i="3"/>
  <c r="I94" i="3"/>
  <c r="H94" i="3"/>
  <c r="G94" i="3"/>
  <c r="E94" i="3"/>
  <c r="D94" i="3"/>
  <c r="X93" i="3"/>
  <c r="W93" i="3"/>
  <c r="I93" i="3"/>
  <c r="H93" i="3"/>
  <c r="G93" i="3"/>
  <c r="E93" i="3"/>
  <c r="D93" i="3"/>
  <c r="X92" i="3"/>
  <c r="W92" i="3"/>
  <c r="I92" i="3"/>
  <c r="H92" i="3"/>
  <c r="G92" i="3"/>
  <c r="E92" i="3"/>
  <c r="D92" i="3"/>
  <c r="X90" i="3"/>
  <c r="W90" i="3"/>
  <c r="I90" i="3"/>
  <c r="H90" i="3"/>
  <c r="G90" i="3"/>
  <c r="E90" i="3"/>
  <c r="D90" i="3"/>
  <c r="X91" i="3"/>
  <c r="W91" i="3"/>
  <c r="I91" i="3"/>
  <c r="H91" i="3"/>
  <c r="G91" i="3"/>
  <c r="E91" i="3"/>
  <c r="D91" i="3"/>
  <c r="X89" i="3"/>
  <c r="W89" i="3"/>
  <c r="I89" i="3"/>
  <c r="H89" i="3"/>
  <c r="G89" i="3"/>
  <c r="E89" i="3"/>
  <c r="D89" i="3"/>
  <c r="X87" i="3"/>
  <c r="W87" i="3"/>
  <c r="I87" i="3"/>
  <c r="H87" i="3"/>
  <c r="G87" i="3"/>
  <c r="E87" i="3"/>
  <c r="D87" i="3"/>
  <c r="X88" i="3"/>
  <c r="W88" i="3"/>
  <c r="I88" i="3"/>
  <c r="H88" i="3"/>
  <c r="G88" i="3"/>
  <c r="E88" i="3"/>
  <c r="D88" i="3"/>
  <c r="X86" i="3"/>
  <c r="W86" i="3"/>
  <c r="I86" i="3"/>
  <c r="H86" i="3"/>
  <c r="G86" i="3"/>
  <c r="E86" i="3"/>
  <c r="D86" i="3"/>
  <c r="X85" i="3"/>
  <c r="W85" i="3"/>
  <c r="I85" i="3"/>
  <c r="H85" i="3"/>
  <c r="G85" i="3"/>
  <c r="E85" i="3"/>
  <c r="D85" i="3"/>
  <c r="X84" i="3"/>
  <c r="W84" i="3"/>
  <c r="I84" i="3"/>
  <c r="H84" i="3"/>
  <c r="G84" i="3"/>
  <c r="E84" i="3"/>
  <c r="D84" i="3"/>
  <c r="X83" i="3"/>
  <c r="W83" i="3"/>
  <c r="I83" i="3"/>
  <c r="H83" i="3"/>
  <c r="G83" i="3"/>
  <c r="E83" i="3"/>
  <c r="D83" i="3"/>
  <c r="X82" i="3"/>
  <c r="W82" i="3"/>
  <c r="I82" i="3"/>
  <c r="H82" i="3"/>
  <c r="G82" i="3"/>
  <c r="E82" i="3"/>
  <c r="D82" i="3"/>
  <c r="X81" i="3"/>
  <c r="W81" i="3"/>
  <c r="I81" i="3"/>
  <c r="H81" i="3"/>
  <c r="G81" i="3"/>
  <c r="E81" i="3"/>
  <c r="D81" i="3"/>
  <c r="X80" i="3"/>
  <c r="W80" i="3"/>
  <c r="I80" i="3"/>
  <c r="H80" i="3"/>
  <c r="G80" i="3"/>
  <c r="E80" i="3"/>
  <c r="D80" i="3"/>
  <c r="X79" i="3"/>
  <c r="W79" i="3"/>
  <c r="I79" i="3"/>
  <c r="H79" i="3"/>
  <c r="G79" i="3"/>
  <c r="E79" i="3"/>
  <c r="D79" i="3"/>
  <c r="X78" i="3"/>
  <c r="W78" i="3"/>
  <c r="I78" i="3"/>
  <c r="H78" i="3"/>
  <c r="G78" i="3"/>
  <c r="E78" i="3"/>
  <c r="D78" i="3"/>
  <c r="X77" i="3"/>
  <c r="W77" i="3"/>
  <c r="I77" i="3"/>
  <c r="H77" i="3"/>
  <c r="G77" i="3"/>
  <c r="E77" i="3"/>
  <c r="D77" i="3"/>
  <c r="X76" i="3"/>
  <c r="W76" i="3"/>
  <c r="I76" i="3"/>
  <c r="H76" i="3"/>
  <c r="G76" i="3"/>
  <c r="E76" i="3"/>
  <c r="D76" i="3"/>
  <c r="X75" i="3"/>
  <c r="W75" i="3"/>
  <c r="I75" i="3"/>
  <c r="H75" i="3"/>
  <c r="G75" i="3"/>
  <c r="E75" i="3"/>
  <c r="D75" i="3"/>
  <c r="X73" i="3"/>
  <c r="W73" i="3"/>
  <c r="I73" i="3"/>
  <c r="H73" i="3"/>
  <c r="G73" i="3"/>
  <c r="E73" i="3"/>
  <c r="D73" i="3"/>
  <c r="X74" i="3"/>
  <c r="W74" i="3"/>
  <c r="I74" i="3"/>
  <c r="H74" i="3"/>
  <c r="G74" i="3"/>
  <c r="E74" i="3"/>
  <c r="D74" i="3"/>
  <c r="X72" i="3"/>
  <c r="W72" i="3"/>
  <c r="I72" i="3"/>
  <c r="H72" i="3"/>
  <c r="G72" i="3"/>
  <c r="E72" i="3"/>
  <c r="D72" i="3"/>
  <c r="X71" i="3"/>
  <c r="W71" i="3"/>
  <c r="I71" i="3"/>
  <c r="H71" i="3"/>
  <c r="G71" i="3"/>
  <c r="E71" i="3"/>
  <c r="D71" i="3"/>
  <c r="X70" i="3"/>
  <c r="W70" i="3"/>
  <c r="I70" i="3"/>
  <c r="H70" i="3"/>
  <c r="G70" i="3"/>
  <c r="E70" i="3"/>
  <c r="D70" i="3"/>
  <c r="X66" i="3"/>
  <c r="W66" i="3"/>
  <c r="I66" i="3"/>
  <c r="H66" i="3"/>
  <c r="G66" i="3"/>
  <c r="E66" i="3"/>
  <c r="D66" i="3"/>
  <c r="X68" i="3"/>
  <c r="W68" i="3"/>
  <c r="I68" i="3"/>
  <c r="H68" i="3"/>
  <c r="G68" i="3"/>
  <c r="E68" i="3"/>
  <c r="D68" i="3"/>
  <c r="X67" i="3"/>
  <c r="W67" i="3"/>
  <c r="I67" i="3"/>
  <c r="H67" i="3"/>
  <c r="G67" i="3"/>
  <c r="E67" i="3"/>
  <c r="D67" i="3"/>
  <c r="X65" i="3"/>
  <c r="W65" i="3"/>
  <c r="I65" i="3"/>
  <c r="H65" i="3"/>
  <c r="G65" i="3"/>
  <c r="E65" i="3"/>
  <c r="D65" i="3"/>
  <c r="X69" i="3"/>
  <c r="W69" i="3"/>
  <c r="I69" i="3"/>
  <c r="H69" i="3"/>
  <c r="G69" i="3"/>
  <c r="E69" i="3"/>
  <c r="D69" i="3"/>
  <c r="X63" i="3"/>
  <c r="W63" i="3"/>
  <c r="I63" i="3"/>
  <c r="H63" i="3"/>
  <c r="G63" i="3"/>
  <c r="E63" i="3"/>
  <c r="D63" i="3"/>
  <c r="X62" i="3"/>
  <c r="W62" i="3"/>
  <c r="I62" i="3"/>
  <c r="H62" i="3"/>
  <c r="G62" i="3"/>
  <c r="E62" i="3"/>
  <c r="D62" i="3"/>
  <c r="X61" i="3"/>
  <c r="W61" i="3"/>
  <c r="P61" i="3"/>
  <c r="I61" i="3"/>
  <c r="H61" i="3"/>
  <c r="G61" i="3"/>
  <c r="E61" i="3"/>
  <c r="D61" i="3"/>
  <c r="X64" i="3"/>
  <c r="W64" i="3"/>
  <c r="M64" i="3"/>
  <c r="I64" i="3"/>
  <c r="H64" i="3"/>
  <c r="G64" i="3"/>
  <c r="E64" i="3"/>
  <c r="D64" i="3"/>
  <c r="X60" i="3"/>
  <c r="W60" i="3"/>
  <c r="P60" i="3"/>
  <c r="I60" i="3"/>
  <c r="H60" i="3"/>
  <c r="G60" i="3"/>
  <c r="E60" i="3"/>
  <c r="D60" i="3"/>
  <c r="X59" i="3"/>
  <c r="W59" i="3"/>
  <c r="I59" i="3"/>
  <c r="H59" i="3"/>
  <c r="G59" i="3"/>
  <c r="E59" i="3"/>
  <c r="D59" i="3"/>
  <c r="X58" i="3"/>
  <c r="W58" i="3"/>
  <c r="I58" i="3"/>
  <c r="H58" i="3"/>
  <c r="G58" i="3"/>
  <c r="E58" i="3"/>
  <c r="D58" i="3"/>
  <c r="X57" i="3"/>
  <c r="W57" i="3"/>
  <c r="I57" i="3"/>
  <c r="H57" i="3"/>
  <c r="G57" i="3"/>
  <c r="E57" i="3"/>
  <c r="D57" i="3"/>
  <c r="W56" i="3"/>
  <c r="P56" i="3"/>
  <c r="P232" i="3" s="1"/>
  <c r="I56" i="3"/>
  <c r="H56" i="3"/>
  <c r="G56" i="3"/>
  <c r="E56" i="3"/>
  <c r="D56" i="3"/>
  <c r="X54" i="3"/>
  <c r="W54" i="3"/>
  <c r="I54" i="3"/>
  <c r="H54" i="3"/>
  <c r="G54" i="3"/>
  <c r="E54" i="3"/>
  <c r="D54" i="3"/>
  <c r="X55" i="3"/>
  <c r="W55" i="3"/>
  <c r="I55" i="3"/>
  <c r="H55" i="3"/>
  <c r="G55" i="3"/>
  <c r="E55" i="3"/>
  <c r="D55" i="3"/>
  <c r="X53" i="3"/>
  <c r="W53" i="3"/>
  <c r="I53" i="3"/>
  <c r="H53" i="3"/>
  <c r="G53" i="3"/>
  <c r="E53" i="3"/>
  <c r="D53" i="3"/>
  <c r="X52" i="3"/>
  <c r="W52" i="3"/>
  <c r="I52" i="3"/>
  <c r="H52" i="3"/>
  <c r="G52" i="3"/>
  <c r="E52" i="3"/>
  <c r="D52" i="3"/>
  <c r="X51" i="3"/>
  <c r="W51" i="3"/>
  <c r="I51" i="3"/>
  <c r="H51" i="3"/>
  <c r="G51" i="3"/>
  <c r="E51" i="3"/>
  <c r="D51" i="3"/>
  <c r="X50" i="3"/>
  <c r="W50" i="3"/>
  <c r="I50" i="3"/>
  <c r="H50" i="3"/>
  <c r="G50" i="3"/>
  <c r="E50" i="3"/>
  <c r="D50" i="3"/>
  <c r="X49" i="3"/>
  <c r="W49" i="3"/>
  <c r="I49" i="3"/>
  <c r="H49" i="3"/>
  <c r="G49" i="3"/>
  <c r="E49" i="3"/>
  <c r="D49" i="3"/>
  <c r="X48" i="3"/>
  <c r="W48" i="3"/>
  <c r="I48" i="3"/>
  <c r="H48" i="3"/>
  <c r="G48" i="3"/>
  <c r="E48" i="3"/>
  <c r="D48" i="3"/>
  <c r="X47" i="3"/>
  <c r="W47" i="3"/>
  <c r="I47" i="3"/>
  <c r="H47" i="3"/>
  <c r="G47" i="3"/>
  <c r="E47" i="3"/>
  <c r="D47" i="3"/>
  <c r="X46" i="3"/>
  <c r="W46" i="3"/>
  <c r="I46" i="3"/>
  <c r="H46" i="3"/>
  <c r="G46" i="3"/>
  <c r="E46" i="3"/>
  <c r="D46" i="3"/>
  <c r="X45" i="3"/>
  <c r="W45" i="3"/>
  <c r="I45" i="3"/>
  <c r="H45" i="3"/>
  <c r="G45" i="3"/>
  <c r="E45" i="3"/>
  <c r="D45" i="3"/>
  <c r="X44" i="3"/>
  <c r="W44" i="3"/>
  <c r="I44" i="3"/>
  <c r="H44" i="3"/>
  <c r="G44" i="3"/>
  <c r="E44" i="3"/>
  <c r="D44" i="3"/>
  <c r="X43" i="3"/>
  <c r="W43" i="3"/>
  <c r="I43" i="3"/>
  <c r="H43" i="3"/>
  <c r="G43" i="3"/>
  <c r="E43" i="3"/>
  <c r="D43" i="3"/>
  <c r="X42" i="3"/>
  <c r="W42" i="3"/>
  <c r="I42" i="3"/>
  <c r="H42" i="3"/>
  <c r="G42" i="3"/>
  <c r="E42" i="3"/>
  <c r="D42" i="3"/>
  <c r="X41" i="3"/>
  <c r="W41" i="3"/>
  <c r="I41" i="3"/>
  <c r="H41" i="3"/>
  <c r="G41" i="3"/>
  <c r="E41" i="3"/>
  <c r="D41" i="3"/>
  <c r="X40" i="3"/>
  <c r="W40" i="3"/>
  <c r="I40" i="3"/>
  <c r="H40" i="3"/>
  <c r="G40" i="3"/>
  <c r="E40" i="3"/>
  <c r="D40" i="3"/>
  <c r="X39" i="3"/>
  <c r="W39" i="3"/>
  <c r="I39" i="3"/>
  <c r="H39" i="3"/>
  <c r="G39" i="3"/>
  <c r="E39" i="3"/>
  <c r="D39" i="3"/>
  <c r="X37" i="3"/>
  <c r="W37" i="3"/>
  <c r="I37" i="3"/>
  <c r="H37" i="3"/>
  <c r="G37" i="3"/>
  <c r="E37" i="3"/>
  <c r="D37" i="3"/>
  <c r="X38" i="3"/>
  <c r="W38" i="3"/>
  <c r="I38" i="3"/>
  <c r="H38" i="3"/>
  <c r="G38" i="3"/>
  <c r="E38" i="3"/>
  <c r="D38" i="3"/>
  <c r="X36" i="3"/>
  <c r="W36" i="3"/>
  <c r="I36" i="3"/>
  <c r="H36" i="3"/>
  <c r="G36" i="3"/>
  <c r="E36" i="3"/>
  <c r="D36" i="3"/>
  <c r="X35" i="3"/>
  <c r="W35" i="3"/>
  <c r="I35" i="3"/>
  <c r="H35" i="3"/>
  <c r="G35" i="3"/>
  <c r="E35" i="3"/>
  <c r="D35" i="3"/>
  <c r="X34" i="3"/>
  <c r="W34" i="3"/>
  <c r="I34" i="3"/>
  <c r="H34" i="3"/>
  <c r="G34" i="3"/>
  <c r="E34" i="3"/>
  <c r="D34" i="3"/>
  <c r="X33" i="3"/>
  <c r="W33" i="3"/>
  <c r="I33" i="3"/>
  <c r="H33" i="3"/>
  <c r="G33" i="3"/>
  <c r="E33" i="3"/>
  <c r="D33" i="3"/>
  <c r="X32" i="3"/>
  <c r="W32" i="3"/>
  <c r="I32" i="3"/>
  <c r="H32" i="3"/>
  <c r="G32" i="3"/>
  <c r="E32" i="3"/>
  <c r="D32" i="3"/>
  <c r="X31" i="3"/>
  <c r="W31" i="3"/>
  <c r="I31" i="3"/>
  <c r="H31" i="3"/>
  <c r="G31" i="3"/>
  <c r="E31" i="3"/>
  <c r="D31" i="3"/>
  <c r="X30" i="3"/>
  <c r="W30" i="3"/>
  <c r="I30" i="3"/>
  <c r="H30" i="3"/>
  <c r="G30" i="3"/>
  <c r="E30" i="3"/>
  <c r="D30" i="3"/>
  <c r="X29" i="3"/>
  <c r="W29" i="3"/>
  <c r="I29" i="3"/>
  <c r="H29" i="3"/>
  <c r="G29" i="3"/>
  <c r="E29" i="3"/>
  <c r="D29" i="3"/>
  <c r="X28" i="3"/>
  <c r="W28" i="3"/>
  <c r="I28" i="3"/>
  <c r="H28" i="3"/>
  <c r="G28" i="3"/>
  <c r="E28" i="3"/>
  <c r="D28" i="3"/>
  <c r="X27" i="3"/>
  <c r="W27" i="3"/>
  <c r="I27" i="3"/>
  <c r="H27" i="3"/>
  <c r="G27" i="3"/>
  <c r="E27" i="3"/>
  <c r="D27" i="3"/>
  <c r="X26" i="3"/>
  <c r="W26" i="3"/>
  <c r="I26" i="3"/>
  <c r="H26" i="3"/>
  <c r="G26" i="3"/>
  <c r="E26" i="3"/>
  <c r="D26" i="3"/>
  <c r="X25" i="3"/>
  <c r="W25" i="3"/>
  <c r="I25" i="3"/>
  <c r="H25" i="3"/>
  <c r="G25" i="3"/>
  <c r="E25" i="3"/>
  <c r="D25" i="3"/>
  <c r="X24" i="3"/>
  <c r="W24" i="3"/>
  <c r="I24" i="3"/>
  <c r="H24" i="3"/>
  <c r="G24" i="3"/>
  <c r="E24" i="3"/>
  <c r="D24" i="3"/>
  <c r="X23" i="3"/>
  <c r="W23" i="3"/>
  <c r="I23" i="3"/>
  <c r="H23" i="3"/>
  <c r="G23" i="3"/>
  <c r="E23" i="3"/>
  <c r="D23" i="3"/>
  <c r="X22" i="3"/>
  <c r="W22" i="3"/>
  <c r="I22" i="3"/>
  <c r="H22" i="3"/>
  <c r="G22" i="3"/>
  <c r="E22" i="3"/>
  <c r="D22" i="3"/>
  <c r="X21" i="3"/>
  <c r="W21" i="3"/>
  <c r="I21" i="3"/>
  <c r="H21" i="3"/>
  <c r="G21" i="3"/>
  <c r="E21" i="3"/>
  <c r="D21" i="3"/>
  <c r="X20" i="3"/>
  <c r="W20" i="3"/>
  <c r="I20" i="3"/>
  <c r="H20" i="3"/>
  <c r="G20" i="3"/>
  <c r="E20" i="3"/>
  <c r="D20" i="3"/>
  <c r="X18" i="3"/>
  <c r="W18" i="3"/>
  <c r="I18" i="3"/>
  <c r="H18" i="3"/>
  <c r="G18" i="3"/>
  <c r="E18" i="3"/>
  <c r="D18" i="3"/>
  <c r="X19" i="3"/>
  <c r="W19" i="3"/>
  <c r="I19" i="3"/>
  <c r="H19" i="3"/>
  <c r="G19" i="3"/>
  <c r="E19" i="3"/>
  <c r="D19" i="3"/>
  <c r="X17" i="3"/>
  <c r="W17" i="3"/>
  <c r="I17" i="3"/>
  <c r="H17" i="3"/>
  <c r="G17" i="3"/>
  <c r="E17" i="3"/>
  <c r="D17" i="3"/>
  <c r="X16" i="3"/>
  <c r="W16" i="3"/>
  <c r="I16" i="3"/>
  <c r="H16" i="3"/>
  <c r="G16" i="3"/>
  <c r="E16" i="3"/>
  <c r="D16" i="3"/>
  <c r="X15" i="3"/>
  <c r="W15" i="3"/>
  <c r="I15" i="3"/>
  <c r="H15" i="3"/>
  <c r="G15" i="3"/>
  <c r="E15" i="3"/>
  <c r="D15" i="3"/>
  <c r="X14" i="3"/>
  <c r="W14" i="3"/>
  <c r="I14" i="3"/>
  <c r="H14" i="3"/>
  <c r="G14" i="3"/>
  <c r="E14" i="3"/>
  <c r="D14" i="3"/>
  <c r="X13" i="3"/>
  <c r="W13" i="3"/>
  <c r="I13" i="3"/>
  <c r="H13" i="3"/>
  <c r="G13" i="3"/>
  <c r="E13" i="3"/>
  <c r="D13" i="3"/>
  <c r="X12" i="3"/>
  <c r="W12" i="3"/>
  <c r="I12" i="3"/>
  <c r="H12" i="3"/>
  <c r="G12" i="3"/>
  <c r="E12" i="3"/>
  <c r="D12" i="3"/>
  <c r="X11" i="3"/>
  <c r="W11" i="3"/>
  <c r="I11" i="3"/>
  <c r="H11" i="3"/>
  <c r="G11" i="3"/>
  <c r="E11" i="3"/>
  <c r="D11" i="3"/>
  <c r="X9" i="3"/>
  <c r="W9" i="3"/>
  <c r="I9" i="3"/>
  <c r="H9" i="3"/>
  <c r="G9" i="3"/>
  <c r="E9" i="3"/>
  <c r="D9" i="3"/>
  <c r="X10" i="3"/>
  <c r="W10" i="3"/>
  <c r="I10" i="3"/>
  <c r="H10" i="3"/>
  <c r="G10" i="3"/>
  <c r="E10" i="3"/>
  <c r="D10" i="3"/>
  <c r="X8" i="3"/>
  <c r="W8" i="3"/>
  <c r="I8" i="3"/>
  <c r="H8" i="3"/>
  <c r="G8" i="3"/>
  <c r="E8" i="3"/>
  <c r="D8" i="3"/>
  <c r="X6" i="3"/>
  <c r="W6" i="3"/>
  <c r="I6" i="3"/>
  <c r="H6" i="3"/>
  <c r="G6" i="3"/>
  <c r="E6" i="3"/>
  <c r="D6" i="3"/>
  <c r="X7" i="3"/>
  <c r="W7" i="3"/>
  <c r="I7" i="3"/>
  <c r="H7" i="3"/>
  <c r="G7" i="3"/>
  <c r="E7" i="3"/>
  <c r="D7" i="3"/>
  <c r="X5" i="3"/>
  <c r="W5" i="3"/>
  <c r="I5" i="3"/>
  <c r="H5" i="3"/>
  <c r="G5" i="3"/>
  <c r="E5" i="3"/>
  <c r="D5" i="3"/>
  <c r="X4" i="3"/>
  <c r="W4" i="3"/>
  <c r="I4" i="3"/>
  <c r="H4" i="3"/>
  <c r="G4" i="3"/>
  <c r="E4" i="3"/>
  <c r="D4" i="3"/>
  <c r="X3" i="3"/>
  <c r="W3" i="3"/>
  <c r="I3" i="3"/>
  <c r="H3" i="3"/>
  <c r="G3" i="3"/>
  <c r="E3" i="3"/>
  <c r="D3" i="3"/>
  <c r="X2" i="3"/>
  <c r="W2" i="3"/>
  <c r="I2" i="3"/>
  <c r="H2" i="3"/>
  <c r="G2" i="3"/>
  <c r="E2" i="3"/>
  <c r="D2" i="3"/>
  <c r="B136" i="2"/>
  <c r="W135" i="2"/>
  <c r="V135" i="2"/>
  <c r="U135" i="2"/>
  <c r="T135" i="2"/>
  <c r="S135" i="2"/>
  <c r="R135" i="2"/>
  <c r="Q135" i="2"/>
  <c r="P135" i="2"/>
  <c r="O135" i="2"/>
  <c r="N135" i="2"/>
  <c r="W77" i="2"/>
  <c r="V77" i="2"/>
  <c r="U77" i="2"/>
  <c r="T77" i="2"/>
  <c r="S77" i="2"/>
  <c r="R77" i="2"/>
  <c r="Q77" i="2"/>
  <c r="P77" i="2"/>
  <c r="O77" i="2"/>
  <c r="N77" i="2"/>
  <c r="W3" i="2"/>
  <c r="V3" i="2"/>
  <c r="U3" i="2"/>
  <c r="T3" i="2"/>
  <c r="S3" i="2"/>
  <c r="R3" i="2"/>
  <c r="Q3" i="2"/>
  <c r="P3" i="2"/>
  <c r="O3" i="2"/>
  <c r="N3" i="2"/>
  <c r="W43" i="2"/>
  <c r="V43" i="2"/>
  <c r="U43" i="2"/>
  <c r="T43" i="2"/>
  <c r="S43" i="2"/>
  <c r="R43" i="2"/>
  <c r="Q43" i="2"/>
  <c r="P43" i="2"/>
  <c r="O43" i="2"/>
  <c r="N43" i="2"/>
  <c r="W26" i="2"/>
  <c r="V26" i="2"/>
  <c r="U26" i="2"/>
  <c r="T26" i="2"/>
  <c r="S26" i="2"/>
  <c r="R26" i="2"/>
  <c r="Q26" i="2"/>
  <c r="P26" i="2"/>
  <c r="O26" i="2"/>
  <c r="N26" i="2"/>
  <c r="W98" i="2"/>
  <c r="V98" i="2"/>
  <c r="U98" i="2"/>
  <c r="T98" i="2"/>
  <c r="S98" i="2"/>
  <c r="R98" i="2"/>
  <c r="Q98" i="2"/>
  <c r="P98" i="2"/>
  <c r="O98" i="2"/>
  <c r="N98" i="2"/>
  <c r="W134" i="2"/>
  <c r="V134" i="2"/>
  <c r="U134" i="2"/>
  <c r="T134" i="2"/>
  <c r="S134" i="2"/>
  <c r="R134" i="2"/>
  <c r="Q134" i="2"/>
  <c r="P134" i="2"/>
  <c r="O134" i="2"/>
  <c r="N134" i="2"/>
  <c r="W95" i="2"/>
  <c r="V95" i="2"/>
  <c r="U95" i="2"/>
  <c r="T95" i="2"/>
  <c r="S95" i="2"/>
  <c r="R95" i="2"/>
  <c r="Q95" i="2"/>
  <c r="P95" i="2"/>
  <c r="O95" i="2"/>
  <c r="N95" i="2"/>
  <c r="W133" i="2"/>
  <c r="V133" i="2"/>
  <c r="U133" i="2"/>
  <c r="T133" i="2"/>
  <c r="S133" i="2"/>
  <c r="R133" i="2"/>
  <c r="Q133" i="2"/>
  <c r="P133" i="2"/>
  <c r="O133" i="2"/>
  <c r="N133" i="2"/>
  <c r="W83" i="2"/>
  <c r="V83" i="2"/>
  <c r="U83" i="2"/>
  <c r="T83" i="2"/>
  <c r="S83" i="2"/>
  <c r="R83" i="2"/>
  <c r="Q83" i="2"/>
  <c r="P83" i="2"/>
  <c r="O83" i="2"/>
  <c r="N83" i="2"/>
  <c r="W131" i="2"/>
  <c r="V131" i="2"/>
  <c r="U131" i="2"/>
  <c r="T131" i="2"/>
  <c r="S131" i="2"/>
  <c r="R131" i="2"/>
  <c r="Q131" i="2"/>
  <c r="P131" i="2"/>
  <c r="O131" i="2"/>
  <c r="N131" i="2"/>
  <c r="W129" i="2"/>
  <c r="V129" i="2"/>
  <c r="U129" i="2"/>
  <c r="T129" i="2"/>
  <c r="S129" i="2"/>
  <c r="R129" i="2"/>
  <c r="Q129" i="2"/>
  <c r="P129" i="2"/>
  <c r="O129" i="2"/>
  <c r="N129" i="2"/>
  <c r="W44" i="2"/>
  <c r="V44" i="2"/>
  <c r="U44" i="2"/>
  <c r="T44" i="2"/>
  <c r="S44" i="2"/>
  <c r="R44" i="2"/>
  <c r="Q44" i="2"/>
  <c r="P44" i="2"/>
  <c r="O44" i="2"/>
  <c r="N44" i="2"/>
  <c r="W132" i="2"/>
  <c r="V132" i="2"/>
  <c r="U132" i="2"/>
  <c r="T132" i="2"/>
  <c r="S132" i="2"/>
  <c r="R132" i="2"/>
  <c r="Q132" i="2"/>
  <c r="P132" i="2"/>
  <c r="O132" i="2"/>
  <c r="N132" i="2"/>
  <c r="W130" i="2"/>
  <c r="V130" i="2"/>
  <c r="U130" i="2"/>
  <c r="T130" i="2"/>
  <c r="S130" i="2"/>
  <c r="R130" i="2"/>
  <c r="Q130" i="2"/>
  <c r="P130" i="2"/>
  <c r="O130" i="2"/>
  <c r="N130" i="2"/>
  <c r="W86" i="2"/>
  <c r="V86" i="2"/>
  <c r="U86" i="2"/>
  <c r="T86" i="2"/>
  <c r="S86" i="2"/>
  <c r="R86" i="2"/>
  <c r="Q86" i="2"/>
  <c r="P86" i="2"/>
  <c r="O86" i="2"/>
  <c r="N86" i="2"/>
  <c r="W30" i="2"/>
  <c r="V30" i="2"/>
  <c r="U30" i="2"/>
  <c r="T30" i="2"/>
  <c r="S30" i="2"/>
  <c r="R30" i="2"/>
  <c r="Q30" i="2"/>
  <c r="P30" i="2"/>
  <c r="O30" i="2"/>
  <c r="N30" i="2"/>
  <c r="W128" i="2"/>
  <c r="V128" i="2"/>
  <c r="U128" i="2"/>
  <c r="T128" i="2"/>
  <c r="S128" i="2"/>
  <c r="R128" i="2"/>
  <c r="Q128" i="2"/>
  <c r="P128" i="2"/>
  <c r="O128" i="2"/>
  <c r="N128" i="2"/>
  <c r="W127" i="2"/>
  <c r="V127" i="2"/>
  <c r="U127" i="2"/>
  <c r="T127" i="2"/>
  <c r="S127" i="2"/>
  <c r="R127" i="2"/>
  <c r="Q127" i="2"/>
  <c r="P127" i="2"/>
  <c r="O127" i="2"/>
  <c r="N127" i="2"/>
  <c r="W96" i="2"/>
  <c r="V96" i="2"/>
  <c r="U96" i="2"/>
  <c r="T96" i="2"/>
  <c r="S96" i="2"/>
  <c r="R96" i="2"/>
  <c r="Q96" i="2"/>
  <c r="P96" i="2"/>
  <c r="O96" i="2"/>
  <c r="N96" i="2"/>
  <c r="W61" i="2"/>
  <c r="V61" i="2"/>
  <c r="U61" i="2"/>
  <c r="T61" i="2"/>
  <c r="S61" i="2"/>
  <c r="R61" i="2"/>
  <c r="Q61" i="2"/>
  <c r="P61" i="2"/>
  <c r="O61" i="2"/>
  <c r="N61" i="2"/>
  <c r="W126" i="2"/>
  <c r="V126" i="2"/>
  <c r="U126" i="2"/>
  <c r="T126" i="2"/>
  <c r="S126" i="2"/>
  <c r="R126" i="2"/>
  <c r="Q126" i="2"/>
  <c r="P126" i="2"/>
  <c r="O126" i="2"/>
  <c r="N126" i="2"/>
  <c r="W124" i="2"/>
  <c r="V124" i="2"/>
  <c r="U124" i="2"/>
  <c r="T124" i="2"/>
  <c r="S124" i="2"/>
  <c r="R124" i="2"/>
  <c r="Q124" i="2"/>
  <c r="P124" i="2"/>
  <c r="O124" i="2"/>
  <c r="N124" i="2"/>
  <c r="W125" i="2"/>
  <c r="V125" i="2"/>
  <c r="U125" i="2"/>
  <c r="T125" i="2"/>
  <c r="S125" i="2"/>
  <c r="R125" i="2"/>
  <c r="Q125" i="2"/>
  <c r="P125" i="2"/>
  <c r="O125" i="2"/>
  <c r="N125" i="2"/>
  <c r="W123" i="2"/>
  <c r="V123" i="2"/>
  <c r="U123" i="2"/>
  <c r="T123" i="2"/>
  <c r="S123" i="2"/>
  <c r="R123" i="2"/>
  <c r="Q123" i="2"/>
  <c r="P123" i="2"/>
  <c r="O123" i="2"/>
  <c r="N123" i="2"/>
  <c r="W118" i="2"/>
  <c r="V118" i="2"/>
  <c r="U118" i="2"/>
  <c r="T118" i="2"/>
  <c r="S118" i="2"/>
  <c r="R118" i="2"/>
  <c r="Q118" i="2"/>
  <c r="P118" i="2"/>
  <c r="O118" i="2"/>
  <c r="N118" i="2"/>
  <c r="W107" i="2"/>
  <c r="V107" i="2"/>
  <c r="U107" i="2"/>
  <c r="T107" i="2"/>
  <c r="S107" i="2"/>
  <c r="R107" i="2"/>
  <c r="Q107" i="2"/>
  <c r="P107" i="2"/>
  <c r="O107" i="2"/>
  <c r="N107" i="2"/>
  <c r="W121" i="2"/>
  <c r="V121" i="2"/>
  <c r="U121" i="2"/>
  <c r="T121" i="2"/>
  <c r="S121" i="2"/>
  <c r="R121" i="2"/>
  <c r="Q121" i="2"/>
  <c r="P121" i="2"/>
  <c r="O121" i="2"/>
  <c r="N121" i="2"/>
  <c r="W106" i="2"/>
  <c r="V106" i="2"/>
  <c r="U106" i="2"/>
  <c r="T106" i="2"/>
  <c r="S106" i="2"/>
  <c r="R106" i="2"/>
  <c r="Q106" i="2"/>
  <c r="P106" i="2"/>
  <c r="O106" i="2"/>
  <c r="N106" i="2"/>
  <c r="W57" i="2"/>
  <c r="V57" i="2"/>
  <c r="U57" i="2"/>
  <c r="T57" i="2"/>
  <c r="S57" i="2"/>
  <c r="R57" i="2"/>
  <c r="Q57" i="2"/>
  <c r="P57" i="2"/>
  <c r="O57" i="2"/>
  <c r="N57" i="2"/>
  <c r="W105" i="2"/>
  <c r="V105" i="2"/>
  <c r="U105" i="2"/>
  <c r="T105" i="2"/>
  <c r="S105" i="2"/>
  <c r="R105" i="2"/>
  <c r="Q105" i="2"/>
  <c r="P105" i="2"/>
  <c r="O105" i="2"/>
  <c r="N105" i="2"/>
  <c r="W25" i="2"/>
  <c r="V25" i="2"/>
  <c r="U25" i="2"/>
  <c r="T25" i="2"/>
  <c r="S25" i="2"/>
  <c r="R25" i="2"/>
  <c r="Q25" i="2"/>
  <c r="P25" i="2"/>
  <c r="O25" i="2"/>
  <c r="N25" i="2"/>
  <c r="W104" i="2"/>
  <c r="V104" i="2"/>
  <c r="U104" i="2"/>
  <c r="T104" i="2"/>
  <c r="S104" i="2"/>
  <c r="R104" i="2"/>
  <c r="Q104" i="2"/>
  <c r="P104" i="2"/>
  <c r="O104" i="2"/>
  <c r="N104" i="2"/>
  <c r="W103" i="2"/>
  <c r="V103" i="2"/>
  <c r="U103" i="2"/>
  <c r="T103" i="2"/>
  <c r="S103" i="2"/>
  <c r="R103" i="2"/>
  <c r="Q103" i="2"/>
  <c r="P103" i="2"/>
  <c r="O103" i="2"/>
  <c r="N103" i="2"/>
  <c r="W32" i="2"/>
  <c r="V32" i="2"/>
  <c r="U32" i="2"/>
  <c r="T32" i="2"/>
  <c r="S32" i="2"/>
  <c r="R32" i="2"/>
  <c r="Q32" i="2"/>
  <c r="P32" i="2"/>
  <c r="O32" i="2"/>
  <c r="N32" i="2"/>
  <c r="W97" i="2"/>
  <c r="V97" i="2"/>
  <c r="U97" i="2"/>
  <c r="T97" i="2"/>
  <c r="S97" i="2"/>
  <c r="R97" i="2"/>
  <c r="Q97" i="2"/>
  <c r="P97" i="2"/>
  <c r="O97" i="2"/>
  <c r="N97" i="2"/>
  <c r="W113" i="2"/>
  <c r="V113" i="2"/>
  <c r="U113" i="2"/>
  <c r="T113" i="2"/>
  <c r="S113" i="2"/>
  <c r="R113" i="2"/>
  <c r="Q113" i="2"/>
  <c r="P113" i="2"/>
  <c r="O113" i="2"/>
  <c r="N113" i="2"/>
  <c r="W116" i="2"/>
  <c r="V116" i="2"/>
  <c r="U116" i="2"/>
  <c r="T116" i="2"/>
  <c r="S116" i="2"/>
  <c r="R116" i="2"/>
  <c r="Q116" i="2"/>
  <c r="P116" i="2"/>
  <c r="O116" i="2"/>
  <c r="N116" i="2"/>
  <c r="V39" i="2"/>
  <c r="U39" i="2"/>
  <c r="T39" i="2"/>
  <c r="S39" i="2"/>
  <c r="R39" i="2"/>
  <c r="Q39" i="2"/>
  <c r="P39" i="2"/>
  <c r="O39" i="2"/>
  <c r="N39" i="2"/>
  <c r="W100" i="2"/>
  <c r="V100" i="2"/>
  <c r="U100" i="2"/>
  <c r="T100" i="2"/>
  <c r="S100" i="2"/>
  <c r="R100" i="2"/>
  <c r="Q100" i="2"/>
  <c r="P100" i="2"/>
  <c r="O100" i="2"/>
  <c r="N100" i="2"/>
  <c r="W99" i="2"/>
  <c r="V99" i="2"/>
  <c r="U99" i="2"/>
  <c r="T99" i="2"/>
  <c r="S99" i="2"/>
  <c r="R99" i="2"/>
  <c r="Q99" i="2"/>
  <c r="P99" i="2"/>
  <c r="O99" i="2"/>
  <c r="N99" i="2"/>
  <c r="W94" i="2"/>
  <c r="V94" i="2"/>
  <c r="U94" i="2"/>
  <c r="T94" i="2"/>
  <c r="S94" i="2"/>
  <c r="R94" i="2"/>
  <c r="Q94" i="2"/>
  <c r="P94" i="2"/>
  <c r="O94" i="2"/>
  <c r="N94" i="2"/>
  <c r="W93" i="2"/>
  <c r="V93" i="2"/>
  <c r="U93" i="2"/>
  <c r="T93" i="2"/>
  <c r="S93" i="2"/>
  <c r="R93" i="2"/>
  <c r="Q93" i="2"/>
  <c r="P93" i="2"/>
  <c r="O93" i="2"/>
  <c r="N93" i="2"/>
  <c r="W92" i="2"/>
  <c r="V92" i="2"/>
  <c r="U92" i="2"/>
  <c r="T92" i="2"/>
  <c r="S92" i="2"/>
  <c r="R92" i="2"/>
  <c r="Q92" i="2"/>
  <c r="P92" i="2"/>
  <c r="O92" i="2"/>
  <c r="N92" i="2"/>
  <c r="W110" i="2"/>
  <c r="V110" i="2"/>
  <c r="U110" i="2"/>
  <c r="T110" i="2"/>
  <c r="S110" i="2"/>
  <c r="R110" i="2"/>
  <c r="Q110" i="2"/>
  <c r="P110" i="2"/>
  <c r="O110" i="2"/>
  <c r="N110" i="2"/>
  <c r="W91" i="2"/>
  <c r="V91" i="2"/>
  <c r="U91" i="2"/>
  <c r="T91" i="2"/>
  <c r="S91" i="2"/>
  <c r="R91" i="2"/>
  <c r="Q91" i="2"/>
  <c r="P91" i="2"/>
  <c r="O91" i="2"/>
  <c r="N91" i="2"/>
  <c r="W4" i="2"/>
  <c r="V4" i="2"/>
  <c r="U4" i="2"/>
  <c r="T4" i="2"/>
  <c r="S4" i="2"/>
  <c r="R4" i="2"/>
  <c r="Q4" i="2"/>
  <c r="P4" i="2"/>
  <c r="O4" i="2"/>
  <c r="N4" i="2"/>
  <c r="W90" i="2"/>
  <c r="V90" i="2"/>
  <c r="U90" i="2"/>
  <c r="T90" i="2"/>
  <c r="S90" i="2"/>
  <c r="R90" i="2"/>
  <c r="Q90" i="2"/>
  <c r="P90" i="2"/>
  <c r="O90" i="2"/>
  <c r="N90" i="2"/>
  <c r="W89" i="2"/>
  <c r="V89" i="2"/>
  <c r="U89" i="2"/>
  <c r="T89" i="2"/>
  <c r="S89" i="2"/>
  <c r="R89" i="2"/>
  <c r="Q89" i="2"/>
  <c r="P89" i="2"/>
  <c r="O89" i="2"/>
  <c r="N89" i="2"/>
  <c r="W88" i="2"/>
  <c r="V88" i="2"/>
  <c r="U88" i="2"/>
  <c r="T88" i="2"/>
  <c r="S88" i="2"/>
  <c r="R88" i="2"/>
  <c r="Q88" i="2"/>
  <c r="P88" i="2"/>
  <c r="O88" i="2"/>
  <c r="N88" i="2"/>
  <c r="W38" i="2"/>
  <c r="V38" i="2"/>
  <c r="U38" i="2"/>
  <c r="T38" i="2"/>
  <c r="S38" i="2"/>
  <c r="R38" i="2"/>
  <c r="Q38" i="2"/>
  <c r="P38" i="2"/>
  <c r="O38" i="2"/>
  <c r="N38" i="2"/>
  <c r="W87" i="2"/>
  <c r="V87" i="2"/>
  <c r="U87" i="2"/>
  <c r="T87" i="2"/>
  <c r="S87" i="2"/>
  <c r="R87" i="2"/>
  <c r="Q87" i="2"/>
  <c r="P87" i="2"/>
  <c r="O87" i="2"/>
  <c r="N87" i="2"/>
  <c r="W7" i="2"/>
  <c r="V7" i="2"/>
  <c r="U7" i="2"/>
  <c r="T7" i="2"/>
  <c r="S7" i="2"/>
  <c r="R7" i="2"/>
  <c r="Q7" i="2"/>
  <c r="P7" i="2"/>
  <c r="O7" i="2"/>
  <c r="N7" i="2"/>
  <c r="W108" i="2"/>
  <c r="V108" i="2"/>
  <c r="U108" i="2"/>
  <c r="T108" i="2"/>
  <c r="S108" i="2"/>
  <c r="R108" i="2"/>
  <c r="Q108" i="2"/>
  <c r="P108" i="2"/>
  <c r="O108" i="2"/>
  <c r="N108" i="2"/>
  <c r="W81" i="2"/>
  <c r="V81" i="2"/>
  <c r="U81" i="2"/>
  <c r="T81" i="2"/>
  <c r="S81" i="2"/>
  <c r="R81" i="2"/>
  <c r="Q81" i="2"/>
  <c r="P81" i="2"/>
  <c r="O81" i="2"/>
  <c r="N81" i="2"/>
  <c r="W80" i="2"/>
  <c r="V80" i="2"/>
  <c r="U80" i="2"/>
  <c r="T80" i="2"/>
  <c r="S80" i="2"/>
  <c r="R80" i="2"/>
  <c r="Q80" i="2"/>
  <c r="P80" i="2"/>
  <c r="O80" i="2"/>
  <c r="N80" i="2"/>
  <c r="W79" i="2"/>
  <c r="V79" i="2"/>
  <c r="U79" i="2"/>
  <c r="T79" i="2"/>
  <c r="S79" i="2"/>
  <c r="R79" i="2"/>
  <c r="Q79" i="2"/>
  <c r="P79" i="2"/>
  <c r="O79" i="2"/>
  <c r="N79" i="2"/>
  <c r="W24" i="2"/>
  <c r="V24" i="2"/>
  <c r="U24" i="2"/>
  <c r="T24" i="2"/>
  <c r="S24" i="2"/>
  <c r="R24" i="2"/>
  <c r="Q24" i="2"/>
  <c r="P24" i="2"/>
  <c r="O24" i="2"/>
  <c r="N24" i="2"/>
  <c r="W78" i="2"/>
  <c r="V78" i="2"/>
  <c r="U78" i="2"/>
  <c r="T78" i="2"/>
  <c r="S78" i="2"/>
  <c r="R78" i="2"/>
  <c r="Q78" i="2"/>
  <c r="P78" i="2"/>
  <c r="O78" i="2"/>
  <c r="N78" i="2"/>
  <c r="W76" i="2"/>
  <c r="V76" i="2"/>
  <c r="U76" i="2"/>
  <c r="T76" i="2"/>
  <c r="S76" i="2"/>
  <c r="R76" i="2"/>
  <c r="Q76" i="2"/>
  <c r="P76" i="2"/>
  <c r="O76" i="2"/>
  <c r="N76" i="2"/>
  <c r="W101" i="2"/>
  <c r="V101" i="2"/>
  <c r="U101" i="2"/>
  <c r="T101" i="2"/>
  <c r="S101" i="2"/>
  <c r="R101" i="2"/>
  <c r="Q101" i="2"/>
  <c r="P101" i="2"/>
  <c r="O101" i="2"/>
  <c r="N101" i="2"/>
  <c r="W75" i="2"/>
  <c r="V75" i="2"/>
  <c r="U75" i="2"/>
  <c r="T75" i="2"/>
  <c r="S75" i="2"/>
  <c r="R75" i="2"/>
  <c r="Q75" i="2"/>
  <c r="P75" i="2"/>
  <c r="O75" i="2"/>
  <c r="N75" i="2"/>
  <c r="W74" i="2"/>
  <c r="V74" i="2"/>
  <c r="U74" i="2"/>
  <c r="T74" i="2"/>
  <c r="S74" i="2"/>
  <c r="R74" i="2"/>
  <c r="Q74" i="2"/>
  <c r="P74" i="2"/>
  <c r="O74" i="2"/>
  <c r="N74" i="2"/>
  <c r="W109" i="2"/>
  <c r="V109" i="2"/>
  <c r="U109" i="2"/>
  <c r="T109" i="2"/>
  <c r="S109" i="2"/>
  <c r="R109" i="2"/>
  <c r="Q109" i="2"/>
  <c r="P109" i="2"/>
  <c r="O109" i="2"/>
  <c r="N109" i="2"/>
  <c r="W73" i="2"/>
  <c r="V73" i="2"/>
  <c r="U73" i="2"/>
  <c r="T73" i="2"/>
  <c r="S73" i="2"/>
  <c r="R73" i="2"/>
  <c r="Q73" i="2"/>
  <c r="P73" i="2"/>
  <c r="O73" i="2"/>
  <c r="N73" i="2"/>
  <c r="W60" i="2"/>
  <c r="V60" i="2"/>
  <c r="U60" i="2"/>
  <c r="T60" i="2"/>
  <c r="S60" i="2"/>
  <c r="R60" i="2"/>
  <c r="Q60" i="2"/>
  <c r="P60" i="2"/>
  <c r="O60" i="2"/>
  <c r="N60" i="2"/>
  <c r="W72" i="2"/>
  <c r="V72" i="2"/>
  <c r="U72" i="2"/>
  <c r="T72" i="2"/>
  <c r="S72" i="2"/>
  <c r="R72" i="2"/>
  <c r="Q72" i="2"/>
  <c r="P72" i="2"/>
  <c r="O72" i="2"/>
  <c r="N72" i="2"/>
  <c r="W71" i="2"/>
  <c r="V71" i="2"/>
  <c r="U71" i="2"/>
  <c r="T71" i="2"/>
  <c r="S71" i="2"/>
  <c r="R71" i="2"/>
  <c r="Q71" i="2"/>
  <c r="P71" i="2"/>
  <c r="O71" i="2"/>
  <c r="N71" i="2"/>
  <c r="W70" i="2"/>
  <c r="V70" i="2"/>
  <c r="U70" i="2"/>
  <c r="T70" i="2"/>
  <c r="S70" i="2"/>
  <c r="R70" i="2"/>
  <c r="Q70" i="2"/>
  <c r="P70" i="2"/>
  <c r="O70" i="2"/>
  <c r="N70" i="2"/>
  <c r="W69" i="2"/>
  <c r="V69" i="2"/>
  <c r="U69" i="2"/>
  <c r="T69" i="2"/>
  <c r="S69" i="2"/>
  <c r="R69" i="2"/>
  <c r="Q69" i="2"/>
  <c r="P69" i="2"/>
  <c r="O69" i="2"/>
  <c r="N69" i="2"/>
  <c r="W16" i="2"/>
  <c r="V16" i="2"/>
  <c r="U16" i="2"/>
  <c r="T16" i="2"/>
  <c r="S16" i="2"/>
  <c r="R16" i="2"/>
  <c r="Q16" i="2"/>
  <c r="P16" i="2"/>
  <c r="O16" i="2"/>
  <c r="N16" i="2"/>
  <c r="W85" i="2"/>
  <c r="V85" i="2"/>
  <c r="U85" i="2"/>
  <c r="T85" i="2"/>
  <c r="S85" i="2"/>
  <c r="R85" i="2"/>
  <c r="Q85" i="2"/>
  <c r="P85" i="2"/>
  <c r="O85" i="2"/>
  <c r="N85" i="2"/>
  <c r="W84" i="2"/>
  <c r="V84" i="2"/>
  <c r="U84" i="2"/>
  <c r="T84" i="2"/>
  <c r="S84" i="2"/>
  <c r="R84" i="2"/>
  <c r="Q84" i="2"/>
  <c r="P84" i="2"/>
  <c r="O84" i="2"/>
  <c r="N84" i="2"/>
  <c r="W68" i="2"/>
  <c r="V68" i="2"/>
  <c r="U68" i="2"/>
  <c r="T68" i="2"/>
  <c r="S68" i="2"/>
  <c r="R68" i="2"/>
  <c r="Q68" i="2"/>
  <c r="P68" i="2"/>
  <c r="O68" i="2"/>
  <c r="N68" i="2"/>
  <c r="W63" i="2"/>
  <c r="V63" i="2"/>
  <c r="U63" i="2"/>
  <c r="T63" i="2"/>
  <c r="S63" i="2"/>
  <c r="R63" i="2"/>
  <c r="Q63" i="2"/>
  <c r="P63" i="2"/>
  <c r="O63" i="2"/>
  <c r="N63" i="2"/>
  <c r="W112" i="2"/>
  <c r="V112" i="2"/>
  <c r="U112" i="2"/>
  <c r="T112" i="2"/>
  <c r="S112" i="2"/>
  <c r="R112" i="2"/>
  <c r="Q112" i="2"/>
  <c r="P112" i="2"/>
  <c r="O112" i="2"/>
  <c r="N112" i="2"/>
  <c r="W67" i="2"/>
  <c r="V67" i="2"/>
  <c r="U67" i="2"/>
  <c r="T67" i="2"/>
  <c r="S67" i="2"/>
  <c r="R67" i="2"/>
  <c r="Q67" i="2"/>
  <c r="P67" i="2"/>
  <c r="O67" i="2"/>
  <c r="N67" i="2"/>
  <c r="W102" i="2"/>
  <c r="V102" i="2"/>
  <c r="U102" i="2"/>
  <c r="T102" i="2"/>
  <c r="S102" i="2"/>
  <c r="R102" i="2"/>
  <c r="Q102" i="2"/>
  <c r="P102" i="2"/>
  <c r="O102" i="2"/>
  <c r="N102" i="2"/>
  <c r="W66" i="2"/>
  <c r="V66" i="2"/>
  <c r="U66" i="2"/>
  <c r="T66" i="2"/>
  <c r="S66" i="2"/>
  <c r="R66" i="2"/>
  <c r="Q66" i="2"/>
  <c r="P66" i="2"/>
  <c r="O66" i="2"/>
  <c r="N66" i="2"/>
  <c r="W65" i="2"/>
  <c r="V65" i="2"/>
  <c r="U65" i="2"/>
  <c r="T65" i="2"/>
  <c r="S65" i="2"/>
  <c r="R65" i="2"/>
  <c r="Q65" i="2"/>
  <c r="P65" i="2"/>
  <c r="O65" i="2"/>
  <c r="N65" i="2"/>
  <c r="W10" i="2"/>
  <c r="V10" i="2"/>
  <c r="U10" i="2"/>
  <c r="T10" i="2"/>
  <c r="S10" i="2"/>
  <c r="R10" i="2"/>
  <c r="Q10" i="2"/>
  <c r="P10" i="2"/>
  <c r="O10" i="2"/>
  <c r="N10" i="2"/>
  <c r="W82" i="2"/>
  <c r="V82" i="2"/>
  <c r="U82" i="2"/>
  <c r="T82" i="2"/>
  <c r="S82" i="2"/>
  <c r="R82" i="2"/>
  <c r="Q82" i="2"/>
  <c r="P82" i="2"/>
  <c r="O82" i="2"/>
  <c r="N82" i="2"/>
  <c r="W111" i="2"/>
  <c r="V111" i="2"/>
  <c r="U111" i="2"/>
  <c r="T111" i="2"/>
  <c r="S111" i="2"/>
  <c r="R111" i="2"/>
  <c r="Q111" i="2"/>
  <c r="P111" i="2"/>
  <c r="O111" i="2"/>
  <c r="N111" i="2"/>
  <c r="W64" i="2"/>
  <c r="V64" i="2"/>
  <c r="U64" i="2"/>
  <c r="T64" i="2"/>
  <c r="S64" i="2"/>
  <c r="R64" i="2"/>
  <c r="Q64" i="2"/>
  <c r="P64" i="2"/>
  <c r="O64" i="2"/>
  <c r="N64" i="2"/>
  <c r="W31" i="2"/>
  <c r="V31" i="2"/>
  <c r="U31" i="2"/>
  <c r="T31" i="2"/>
  <c r="S31" i="2"/>
  <c r="R31" i="2"/>
  <c r="Q31" i="2"/>
  <c r="P31" i="2"/>
  <c r="O31" i="2"/>
  <c r="N31" i="2"/>
  <c r="W59" i="2"/>
  <c r="V59" i="2"/>
  <c r="U59" i="2"/>
  <c r="T59" i="2"/>
  <c r="S59" i="2"/>
  <c r="R59" i="2"/>
  <c r="Q59" i="2"/>
  <c r="P59" i="2"/>
  <c r="O59" i="2"/>
  <c r="N59" i="2"/>
  <c r="W58" i="2"/>
  <c r="V58" i="2"/>
  <c r="U58" i="2"/>
  <c r="T58" i="2"/>
  <c r="S58" i="2"/>
  <c r="R58" i="2"/>
  <c r="Q58" i="2"/>
  <c r="P58" i="2"/>
  <c r="O58" i="2"/>
  <c r="N58" i="2"/>
  <c r="W120" i="2"/>
  <c r="V120" i="2"/>
  <c r="U120" i="2"/>
  <c r="T120" i="2"/>
  <c r="S120" i="2"/>
  <c r="R120" i="2"/>
  <c r="Q120" i="2"/>
  <c r="P120" i="2"/>
  <c r="O120" i="2"/>
  <c r="N120" i="2"/>
  <c r="W56" i="2"/>
  <c r="V56" i="2"/>
  <c r="U56" i="2"/>
  <c r="T56" i="2"/>
  <c r="S56" i="2"/>
  <c r="R56" i="2"/>
  <c r="Q56" i="2"/>
  <c r="P56" i="2"/>
  <c r="O56" i="2"/>
  <c r="N56" i="2"/>
  <c r="W55" i="2"/>
  <c r="V55" i="2"/>
  <c r="U55" i="2"/>
  <c r="T55" i="2"/>
  <c r="S55" i="2"/>
  <c r="R55" i="2"/>
  <c r="Q55" i="2"/>
  <c r="P55" i="2"/>
  <c r="O55" i="2"/>
  <c r="N55" i="2"/>
  <c r="W114" i="2"/>
  <c r="V114" i="2"/>
  <c r="U114" i="2"/>
  <c r="T114" i="2"/>
  <c r="S114" i="2"/>
  <c r="R114" i="2"/>
  <c r="Q114" i="2"/>
  <c r="P114" i="2"/>
  <c r="O114" i="2"/>
  <c r="N114" i="2"/>
  <c r="W115" i="2"/>
  <c r="V115" i="2"/>
  <c r="U115" i="2"/>
  <c r="T115" i="2"/>
  <c r="S115" i="2"/>
  <c r="R115" i="2"/>
  <c r="Q115" i="2"/>
  <c r="P115" i="2"/>
  <c r="O115" i="2"/>
  <c r="N115" i="2"/>
  <c r="W17" i="2"/>
  <c r="V17" i="2"/>
  <c r="U17" i="2"/>
  <c r="T17" i="2"/>
  <c r="S17" i="2"/>
  <c r="R17" i="2"/>
  <c r="Q17" i="2"/>
  <c r="P17" i="2"/>
  <c r="O17" i="2"/>
  <c r="N17" i="2"/>
  <c r="W8" i="2"/>
  <c r="V8" i="2"/>
  <c r="U8" i="2"/>
  <c r="T8" i="2"/>
  <c r="S8" i="2"/>
  <c r="R8" i="2"/>
  <c r="Q8" i="2"/>
  <c r="P8" i="2"/>
  <c r="O8" i="2"/>
  <c r="N8" i="2"/>
  <c r="W54" i="2"/>
  <c r="V54" i="2"/>
  <c r="U54" i="2"/>
  <c r="T54" i="2"/>
  <c r="S54" i="2"/>
  <c r="R54" i="2"/>
  <c r="Q54" i="2"/>
  <c r="P54" i="2"/>
  <c r="O54" i="2"/>
  <c r="N54" i="2"/>
  <c r="W53" i="2"/>
  <c r="V53" i="2"/>
  <c r="U53" i="2"/>
  <c r="T53" i="2"/>
  <c r="S53" i="2"/>
  <c r="R53" i="2"/>
  <c r="Q53" i="2"/>
  <c r="P53" i="2"/>
  <c r="O53" i="2"/>
  <c r="N53" i="2"/>
  <c r="W52" i="2"/>
  <c r="V52" i="2"/>
  <c r="U52" i="2"/>
  <c r="T52" i="2"/>
  <c r="S52" i="2"/>
  <c r="R52" i="2"/>
  <c r="Q52" i="2"/>
  <c r="P52" i="2"/>
  <c r="O52" i="2"/>
  <c r="N52" i="2"/>
  <c r="W51" i="2"/>
  <c r="V51" i="2"/>
  <c r="U51" i="2"/>
  <c r="T51" i="2"/>
  <c r="S51" i="2"/>
  <c r="R51" i="2"/>
  <c r="Q51" i="2"/>
  <c r="P51" i="2"/>
  <c r="O51" i="2"/>
  <c r="N51" i="2"/>
  <c r="W50" i="2"/>
  <c r="V50" i="2"/>
  <c r="U50" i="2"/>
  <c r="T50" i="2"/>
  <c r="S50" i="2"/>
  <c r="R50" i="2"/>
  <c r="Q50" i="2"/>
  <c r="P50" i="2"/>
  <c r="O50" i="2"/>
  <c r="N50" i="2"/>
  <c r="W49" i="2"/>
  <c r="V49" i="2"/>
  <c r="U49" i="2"/>
  <c r="T49" i="2"/>
  <c r="S49" i="2"/>
  <c r="R49" i="2"/>
  <c r="Q49" i="2"/>
  <c r="P49" i="2"/>
  <c r="O49" i="2"/>
  <c r="N49" i="2"/>
  <c r="W6" i="2"/>
  <c r="V6" i="2"/>
  <c r="U6" i="2"/>
  <c r="T6" i="2"/>
  <c r="S6" i="2"/>
  <c r="R6" i="2"/>
  <c r="Q6" i="2"/>
  <c r="P6" i="2"/>
  <c r="O6" i="2"/>
  <c r="N6" i="2"/>
  <c r="W48" i="2"/>
  <c r="V48" i="2"/>
  <c r="U48" i="2"/>
  <c r="T48" i="2"/>
  <c r="S48" i="2"/>
  <c r="R48" i="2"/>
  <c r="Q48" i="2"/>
  <c r="P48" i="2"/>
  <c r="O48" i="2"/>
  <c r="N48" i="2"/>
  <c r="W119" i="2"/>
  <c r="V119" i="2"/>
  <c r="U119" i="2"/>
  <c r="T119" i="2"/>
  <c r="S119" i="2"/>
  <c r="R119" i="2"/>
  <c r="Q119" i="2"/>
  <c r="P119" i="2"/>
  <c r="O119" i="2"/>
  <c r="N119" i="2"/>
  <c r="W41" i="2"/>
  <c r="V41" i="2"/>
  <c r="U41" i="2"/>
  <c r="T41" i="2"/>
  <c r="S41" i="2"/>
  <c r="R41" i="2"/>
  <c r="Q41" i="2"/>
  <c r="P41" i="2"/>
  <c r="O41" i="2"/>
  <c r="N41" i="2"/>
  <c r="W47" i="2"/>
  <c r="V47" i="2"/>
  <c r="U47" i="2"/>
  <c r="T47" i="2"/>
  <c r="S47" i="2"/>
  <c r="R47" i="2"/>
  <c r="Q47" i="2"/>
  <c r="P47" i="2"/>
  <c r="O47" i="2"/>
  <c r="N47" i="2"/>
  <c r="W46" i="2"/>
  <c r="V46" i="2"/>
  <c r="U46" i="2"/>
  <c r="T46" i="2"/>
  <c r="S46" i="2"/>
  <c r="R46" i="2"/>
  <c r="Q46" i="2"/>
  <c r="P46" i="2"/>
  <c r="O46" i="2"/>
  <c r="N46" i="2"/>
  <c r="W45" i="2"/>
  <c r="V45" i="2"/>
  <c r="U45" i="2"/>
  <c r="T45" i="2"/>
  <c r="S45" i="2"/>
  <c r="R45" i="2"/>
  <c r="Q45" i="2"/>
  <c r="P45" i="2"/>
  <c r="O45" i="2"/>
  <c r="N45" i="2"/>
  <c r="W122" i="2"/>
  <c r="V122" i="2"/>
  <c r="U122" i="2"/>
  <c r="T122" i="2"/>
  <c r="S122" i="2"/>
  <c r="R122" i="2"/>
  <c r="Q122" i="2"/>
  <c r="P122" i="2"/>
  <c r="O122" i="2"/>
  <c r="N122" i="2"/>
  <c r="W117" i="2"/>
  <c r="V117" i="2"/>
  <c r="U117" i="2"/>
  <c r="T117" i="2"/>
  <c r="S117" i="2"/>
  <c r="R117" i="2"/>
  <c r="Q117" i="2"/>
  <c r="P117" i="2"/>
  <c r="O117" i="2"/>
  <c r="N117" i="2"/>
  <c r="W42" i="2"/>
  <c r="V42" i="2"/>
  <c r="U42" i="2"/>
  <c r="T42" i="2"/>
  <c r="S42" i="2"/>
  <c r="R42" i="2"/>
  <c r="Q42" i="2"/>
  <c r="P42" i="2"/>
  <c r="O42" i="2"/>
  <c r="N42" i="2"/>
  <c r="W36" i="2"/>
  <c r="V36" i="2"/>
  <c r="U36" i="2"/>
  <c r="T36" i="2"/>
  <c r="S36" i="2"/>
  <c r="R36" i="2"/>
  <c r="Q36" i="2"/>
  <c r="P36" i="2"/>
  <c r="O36" i="2"/>
  <c r="N36" i="2"/>
  <c r="W35" i="2"/>
  <c r="V35" i="2"/>
  <c r="U35" i="2"/>
  <c r="T35" i="2"/>
  <c r="S35" i="2"/>
  <c r="R35" i="2"/>
  <c r="Q35" i="2"/>
  <c r="P35" i="2"/>
  <c r="O35" i="2"/>
  <c r="N35" i="2"/>
  <c r="W34" i="2"/>
  <c r="V34" i="2"/>
  <c r="U34" i="2"/>
  <c r="T34" i="2"/>
  <c r="S34" i="2"/>
  <c r="R34" i="2"/>
  <c r="Q34" i="2"/>
  <c r="P34" i="2"/>
  <c r="O34" i="2"/>
  <c r="N34" i="2"/>
  <c r="W33" i="2"/>
  <c r="V33" i="2"/>
  <c r="U33" i="2"/>
  <c r="T33" i="2"/>
  <c r="S33" i="2"/>
  <c r="R33" i="2"/>
  <c r="Q33" i="2"/>
  <c r="P33" i="2"/>
  <c r="O33" i="2"/>
  <c r="N33" i="2"/>
  <c r="W62" i="2"/>
  <c r="V62" i="2"/>
  <c r="U62" i="2"/>
  <c r="T62" i="2"/>
  <c r="S62" i="2"/>
  <c r="R62" i="2"/>
  <c r="Q62" i="2"/>
  <c r="P62" i="2"/>
  <c r="O62" i="2"/>
  <c r="N62" i="2"/>
  <c r="W29" i="2"/>
  <c r="V29" i="2"/>
  <c r="U29" i="2"/>
  <c r="T29" i="2"/>
  <c r="S29" i="2"/>
  <c r="R29" i="2"/>
  <c r="Q29" i="2"/>
  <c r="P29" i="2"/>
  <c r="O29" i="2"/>
  <c r="N29" i="2"/>
  <c r="W23" i="2"/>
  <c r="V23" i="2"/>
  <c r="U23" i="2"/>
  <c r="T23" i="2"/>
  <c r="S23" i="2"/>
  <c r="R23" i="2"/>
  <c r="Q23" i="2"/>
  <c r="P23" i="2"/>
  <c r="O23" i="2"/>
  <c r="N23" i="2"/>
  <c r="W22" i="2"/>
  <c r="V22" i="2"/>
  <c r="U22" i="2"/>
  <c r="T22" i="2"/>
  <c r="S22" i="2"/>
  <c r="R22" i="2"/>
  <c r="Q22" i="2"/>
  <c r="P22" i="2"/>
  <c r="O22" i="2"/>
  <c r="N22" i="2"/>
  <c r="W19" i="2"/>
  <c r="V19" i="2"/>
  <c r="U19" i="2"/>
  <c r="T19" i="2"/>
  <c r="S19" i="2"/>
  <c r="R19" i="2"/>
  <c r="Q19" i="2"/>
  <c r="P19" i="2"/>
  <c r="O19" i="2"/>
  <c r="N19" i="2"/>
  <c r="W14" i="2"/>
  <c r="V14" i="2"/>
  <c r="U14" i="2"/>
  <c r="T14" i="2"/>
  <c r="S14" i="2"/>
  <c r="R14" i="2"/>
  <c r="Q14" i="2"/>
  <c r="P14" i="2"/>
  <c r="O14" i="2"/>
  <c r="N14" i="2"/>
  <c r="W40" i="2"/>
  <c r="V40" i="2"/>
  <c r="U40" i="2"/>
  <c r="T40" i="2"/>
  <c r="S40" i="2"/>
  <c r="R40" i="2"/>
  <c r="Q40" i="2"/>
  <c r="P40" i="2"/>
  <c r="O40" i="2"/>
  <c r="N40" i="2"/>
  <c r="W37" i="2"/>
  <c r="V37" i="2"/>
  <c r="U37" i="2"/>
  <c r="T37" i="2"/>
  <c r="S37" i="2"/>
  <c r="R37" i="2"/>
  <c r="Q37" i="2"/>
  <c r="P37" i="2"/>
  <c r="O37" i="2"/>
  <c r="N37" i="2"/>
  <c r="W12" i="2"/>
  <c r="V12" i="2"/>
  <c r="U12" i="2"/>
  <c r="T12" i="2"/>
  <c r="S12" i="2"/>
  <c r="R12" i="2"/>
  <c r="Q12" i="2"/>
  <c r="P12" i="2"/>
  <c r="O12" i="2"/>
  <c r="N12" i="2"/>
  <c r="W11" i="2"/>
  <c r="V11" i="2"/>
  <c r="U11" i="2"/>
  <c r="T11" i="2"/>
  <c r="S11" i="2"/>
  <c r="R11" i="2"/>
  <c r="Q11" i="2"/>
  <c r="P11" i="2"/>
  <c r="O11" i="2"/>
  <c r="N11" i="2"/>
  <c r="W5" i="2"/>
  <c r="V5" i="2"/>
  <c r="U5" i="2"/>
  <c r="T5" i="2"/>
  <c r="S5" i="2"/>
  <c r="R5" i="2"/>
  <c r="Q5" i="2"/>
  <c r="P5" i="2"/>
  <c r="O5" i="2"/>
  <c r="N5" i="2"/>
  <c r="W28" i="2"/>
  <c r="V28" i="2"/>
  <c r="U28" i="2"/>
  <c r="T28" i="2"/>
  <c r="S28" i="2"/>
  <c r="R28" i="2"/>
  <c r="Q28" i="2"/>
  <c r="P28" i="2"/>
  <c r="O28" i="2"/>
  <c r="N28" i="2"/>
  <c r="W27" i="2"/>
  <c r="V27" i="2"/>
  <c r="U27" i="2"/>
  <c r="T27" i="2"/>
  <c r="S27" i="2"/>
  <c r="R27" i="2"/>
  <c r="Q27" i="2"/>
  <c r="P27" i="2"/>
  <c r="O27" i="2"/>
  <c r="N27" i="2"/>
  <c r="W21" i="2"/>
  <c r="V21" i="2"/>
  <c r="U21" i="2"/>
  <c r="T21" i="2"/>
  <c r="S21" i="2"/>
  <c r="R21" i="2"/>
  <c r="Q21" i="2"/>
  <c r="P21" i="2"/>
  <c r="O21" i="2"/>
  <c r="N21" i="2"/>
  <c r="W20" i="2"/>
  <c r="V20" i="2"/>
  <c r="U20" i="2"/>
  <c r="T20" i="2"/>
  <c r="S20" i="2"/>
  <c r="R20" i="2"/>
  <c r="Q20" i="2"/>
  <c r="P20" i="2"/>
  <c r="O20" i="2"/>
  <c r="N20" i="2"/>
  <c r="W18" i="2"/>
  <c r="V18" i="2"/>
  <c r="U18" i="2"/>
  <c r="T18" i="2"/>
  <c r="S18" i="2"/>
  <c r="R18" i="2"/>
  <c r="Q18" i="2"/>
  <c r="P18" i="2"/>
  <c r="O18" i="2"/>
  <c r="N18" i="2"/>
  <c r="W15" i="2"/>
  <c r="V15" i="2"/>
  <c r="U15" i="2"/>
  <c r="T15" i="2"/>
  <c r="S15" i="2"/>
  <c r="R15" i="2"/>
  <c r="Q15" i="2"/>
  <c r="P15" i="2"/>
  <c r="O15" i="2"/>
  <c r="N15" i="2"/>
  <c r="W13" i="2"/>
  <c r="V13" i="2"/>
  <c r="U13" i="2"/>
  <c r="T13" i="2"/>
  <c r="S13" i="2"/>
  <c r="R13" i="2"/>
  <c r="Q13" i="2"/>
  <c r="P13" i="2"/>
  <c r="O13" i="2"/>
  <c r="N13" i="2"/>
  <c r="W2" i="2"/>
  <c r="V2" i="2"/>
  <c r="U2" i="2"/>
  <c r="T2" i="2"/>
  <c r="S2" i="2"/>
  <c r="R2" i="2"/>
  <c r="Q2" i="2"/>
  <c r="P2" i="2"/>
  <c r="O2" i="2"/>
  <c r="N2" i="2"/>
  <c r="W9" i="2"/>
  <c r="V9" i="2"/>
  <c r="U9" i="2"/>
  <c r="T9" i="2"/>
  <c r="S9" i="2"/>
  <c r="R9" i="2"/>
  <c r="Q9" i="2"/>
  <c r="P9" i="2"/>
  <c r="O9" i="2"/>
  <c r="N9" i="2"/>
  <c r="Q136" i="2" l="1"/>
  <c r="U136" i="2"/>
  <c r="N136" i="2"/>
  <c r="R136" i="2"/>
  <c r="V136" i="2"/>
  <c r="O136" i="2"/>
  <c r="S136" i="2"/>
  <c r="P136" i="2"/>
  <c r="T136" i="2"/>
  <c r="W232" i="3"/>
  <c r="X232" i="3"/>
  <c r="X56" i="3"/>
  <c r="W39" i="2" s="1"/>
  <c r="W136" i="2" s="1"/>
</calcChain>
</file>

<file path=xl/sharedStrings.xml><?xml version="1.0" encoding="utf-8"?>
<sst xmlns="http://schemas.openxmlformats.org/spreadsheetml/2006/main" count="3326" uniqueCount="344">
  <si>
    <t>Projects Key</t>
  </si>
  <si>
    <t>CIP #</t>
  </si>
  <si>
    <t>Title</t>
  </si>
  <si>
    <t>Year Added</t>
  </si>
  <si>
    <t>Project Classification 1</t>
  </si>
  <si>
    <t>Project Classification 2</t>
  </si>
  <si>
    <t>Project Classification 3</t>
  </si>
  <si>
    <t>Start Date</t>
  </si>
  <si>
    <t>End Date</t>
  </si>
  <si>
    <t>Project Manager Prioritization Score</t>
  </si>
  <si>
    <t>Review Committee Prioritization Score</t>
  </si>
  <si>
    <t>Lifetime Actual Thru FY 2016 (Unaudited)</t>
  </si>
  <si>
    <t>Projected Expenditures FY 2017</t>
  </si>
  <si>
    <t>Projected Expenditures FY 2018</t>
  </si>
  <si>
    <t>Projected Expenditures FY 2019</t>
  </si>
  <si>
    <t>Projected Expenditures FY 2020</t>
  </si>
  <si>
    <t>Projected Expenditures FY 2021</t>
  </si>
  <si>
    <t>Projected Expenditures FY 2022</t>
  </si>
  <si>
    <t>Projected Expenditures FY 2023 &amp; Beyond</t>
  </si>
  <si>
    <t>2018-2022 CIP Total</t>
  </si>
  <si>
    <t>Project Total</t>
  </si>
  <si>
    <t>Project Manager</t>
  </si>
  <si>
    <t>Energy Management: Lake Huron Water Treatment Plant Low Lift Pumping Improvements</t>
  </si>
  <si>
    <t>Project</t>
  </si>
  <si>
    <t>Water</t>
  </si>
  <si>
    <t>Treatment Plants &amp; Facilities</t>
  </si>
  <si>
    <t>Lake Huron</t>
  </si>
  <si>
    <t>NA</t>
  </si>
  <si>
    <t>Grant Gartrell</t>
  </si>
  <si>
    <t>Miscellaneous Mechanical Improvements at Lake Huron WTP</t>
  </si>
  <si>
    <t>TBD</t>
  </si>
  <si>
    <t>Evaluation of Flocculation Improvement Alternatives at the LHWTP</t>
  </si>
  <si>
    <t>Electrical Tunnel Rehabilitation at Lake Huron WTP</t>
  </si>
  <si>
    <t>Miscellaneous Concrete Improvements at the Lake Huron WTP</t>
  </si>
  <si>
    <t>Jorge Nicolas</t>
  </si>
  <si>
    <t>Replacement of Filter Instrumentation and Raw Water Flow Metering Improvements at Lake Huron WTP</t>
  </si>
  <si>
    <t>Lake Huron WTP-Raw Sludge Clarifier and Raw Sludge Pumping System Improvements</t>
  </si>
  <si>
    <t>Yard Piping Replacement at Northeast Water Treatment Plant</t>
  </si>
  <si>
    <t>Northeast</t>
  </si>
  <si>
    <t>Low Lift Pumping Plant Caisson Rehabilitation at Northeast WTP</t>
  </si>
  <si>
    <t>Southwest</t>
  </si>
  <si>
    <t>Partho Ghosh</t>
  </si>
  <si>
    <t>High Lift Pump Discharge Valve Actuators Replacement at Southwest WTP</t>
  </si>
  <si>
    <t>Replacement of Butterfly Valves and Sluice Gates for Rapid Mix Chamber at Southwest WTP</t>
  </si>
  <si>
    <t>Residual Handling Facility's Decant Flow Modifications at Southwest WTP</t>
  </si>
  <si>
    <t>Springwells Water Treatment Plant 1958 Filter Rehabilitation and Auxiliary Facilities</t>
  </si>
  <si>
    <t>Springwells</t>
  </si>
  <si>
    <t>Eric Kramp</t>
  </si>
  <si>
    <t>Springwells Water Treatment Plant - Low Lift and High Lift Pump Station</t>
  </si>
  <si>
    <t>Water Production Flow Metering Improvements at NE, SW, and SPW WTP</t>
  </si>
  <si>
    <t>Miscellaneous Concrete Improvements at Springwells WTP</t>
  </si>
  <si>
    <t>Jorge Nichols</t>
  </si>
  <si>
    <t>Administration Building Improvements at Springwells WTP</t>
  </si>
  <si>
    <t>Replacement of Rapid Mix Units at Springwells WTP 1958 Process Train</t>
  </si>
  <si>
    <t>Powdered Activated Carbon System Improvements at Springwells WTP</t>
  </si>
  <si>
    <t>1930 Sedimentation Basin Sluice Gates, Guides &amp; Hoists Improvements at Springwells WTP</t>
  </si>
  <si>
    <t>Springwells Water Treatment Plant Service Area Redundancy Study</t>
  </si>
  <si>
    <t>Timothy Kuhns</t>
  </si>
  <si>
    <t>Yard Piping Improvements at Springwells WTP</t>
  </si>
  <si>
    <t>Steam, Condensate Return, and Compressed Air Piping Improvements at Springwells WTP</t>
  </si>
  <si>
    <t>Springwells Water Treatment Plant 1930 Filter Building-Roof Replacement</t>
  </si>
  <si>
    <t>Springwells Reservoir Fill Line Improvements</t>
  </si>
  <si>
    <t>Yard Piping, Valves and Venturi Meters Replacement at Water Works Park</t>
  </si>
  <si>
    <t>Water Works Park</t>
  </si>
  <si>
    <t>Miscellaneous Concrete and Road Improvements at Waterworks Park WTP</t>
  </si>
  <si>
    <t>Comprehensive Condition Assessment at Waterworks Park WTP</t>
  </si>
  <si>
    <t>Miscellaneous Improvements to Raw Water Tunnels, Shafts and Related Structures</t>
  </si>
  <si>
    <t>General Purpose</t>
  </si>
  <si>
    <t>Pennsylvania, Springwells and Northeast Raw Water Supply Tunnel Improvements based on Contract CS-1623 Inspection Results</t>
  </si>
  <si>
    <t>Water Treatment Plant Automation Program</t>
  </si>
  <si>
    <t>Program</t>
  </si>
  <si>
    <t>Jeffrey Dorsey</t>
  </si>
  <si>
    <t>WRRF</t>
  </si>
  <si>
    <t>Parallel 42-Inch Main in 24 Mile Road from Rochester Station to Romeo Plank Road</t>
  </si>
  <si>
    <t>Field Services</t>
  </si>
  <si>
    <t>Transmission System</t>
  </si>
  <si>
    <t>Greg Marker</t>
  </si>
  <si>
    <t>Replacement of Five (5) PRV Pits of Treated Water Transmission System</t>
  </si>
  <si>
    <t>Water Transmission  Improvement Program</t>
  </si>
  <si>
    <t>Biren Saparia</t>
  </si>
  <si>
    <t>New Waterworks Park to Northeast Transmission Main</t>
  </si>
  <si>
    <t>96-inch Main Relocation, Isolation Valves Installations, and New Parallel Main</t>
  </si>
  <si>
    <t>Transmission System Water Main Work - Replacement of Schoolcraft Water Main</t>
  </si>
  <si>
    <t>Transmission System Water Main Work-Wick Road Parallel Water Main</t>
  </si>
  <si>
    <t>Design and Construction of a new Newburgh Road 24" Main along Newburgh Road between Cherry Hill and Glenwood Avenue</t>
  </si>
  <si>
    <t>Mini Panicker</t>
  </si>
  <si>
    <t>Water System Improvements in Joy Road from Southfield Road to Trinity</t>
  </si>
  <si>
    <t>Khader Hamad</t>
  </si>
  <si>
    <t>Transmission System Valve Assessment and Rehabilitation/Replacement</t>
  </si>
  <si>
    <t>Water Transmission Main Asset Assessment Program</t>
  </si>
  <si>
    <t>Park-Merriman Water Main-Final Phase</t>
  </si>
  <si>
    <t>36-inch Water Main in Telegraph Road</t>
  </si>
  <si>
    <t>Lyon Township Transmission Main Extension Project</t>
  </si>
  <si>
    <t>Tim Kuhns</t>
  </si>
  <si>
    <t>1230b</t>
  </si>
  <si>
    <t>48-Inch Water Main Installation at Vining and Wick Roads in Romulus</t>
  </si>
  <si>
    <t>Wick Road Station Rehabilitation</t>
  </si>
  <si>
    <t>SCC</t>
  </si>
  <si>
    <t>Pump Station/Reservoir</t>
  </si>
  <si>
    <t>Booster Stations and Reservoirs Inspection, Rehabilitation and Inspection Repair Program</t>
  </si>
  <si>
    <t>Valerion Farr</t>
  </si>
  <si>
    <t>Replacement of Switchgear at Joy Road Pumping Station</t>
  </si>
  <si>
    <t>Isolation Gate Valves for Line Pumps for West Service Center Pumping Station</t>
  </si>
  <si>
    <t>Hydraulic Surge Control for North Service Center Pumping Station</t>
  </si>
  <si>
    <t>Energy Management: Evaluate Alternatives and Recommend Corrective Actions to Improve Power Factors (PF) at Various GLWA Booster Pumping Stations</t>
  </si>
  <si>
    <t>Pressure and Control Improvements at the Electric, Ford Road, Michigan, and West Chicago Water Booster Pumping Stations</t>
  </si>
  <si>
    <t>Energy Management: Freeze Protection Pump Installation at Imlay Pumping Station</t>
  </si>
  <si>
    <t>Needs Assessment Study for all Water Booster Pumping Stations</t>
  </si>
  <si>
    <t>Reservoir Inspection, Design and Rehabilitation at Imlay Station, Adams Station, Haggerty Station, LH-WTP, SP-WTP and SW-WTP</t>
  </si>
  <si>
    <t>Study Phase Services for Proposed East Service Center Booster Pumping Station and Reservoir</t>
  </si>
  <si>
    <t>West Service Center/Duval Rd Division Valve Upgrades</t>
  </si>
  <si>
    <t>Energy Management: West Service Center (WSC) VFD Installation</t>
  </si>
  <si>
    <t>Suburban Water Meter Pit Rehabilitation and Meter Replacement</t>
  </si>
  <si>
    <t>Chandan Sood</t>
  </si>
  <si>
    <t>Comprehensive Water Master Plan Update</t>
  </si>
  <si>
    <t>Water Treatment Plant /Pump Station Allowance</t>
  </si>
  <si>
    <t>Allowance</t>
  </si>
  <si>
    <t>As Needed Construction Materials, Environmental Media and Special Testing Services, Construction Inspection, and Other Technical Services</t>
  </si>
  <si>
    <t>Rehabilitation of Primary Clarifiers Rectangular Tanks, Drain Lines, Electrical/Mechanical Building and Pipe Gallery</t>
  </si>
  <si>
    <t>Wastewater</t>
  </si>
  <si>
    <t>Primary Treatment</t>
  </si>
  <si>
    <t>Phillip Kora</t>
  </si>
  <si>
    <t>Pump Station No. 2 Pumping Improvements</t>
  </si>
  <si>
    <t>Alfredo Lava</t>
  </si>
  <si>
    <t>Rehabilitation of Primary Clarifiers</t>
  </si>
  <si>
    <t>Beena Chackunkal</t>
  </si>
  <si>
    <t>Pump Station 1 Rack &amp; Grit and MPI Sampling Station 1 Improvements</t>
  </si>
  <si>
    <t>Rehabilitation of Main Lift Pumps at Pump Station No. 1</t>
  </si>
  <si>
    <t>Replacement of Bar Racks at Pump Station No.2</t>
  </si>
  <si>
    <t>Rehabilitation of Ferric Chloride Feed Systems</t>
  </si>
  <si>
    <t>Tarlochan Bhullar</t>
  </si>
  <si>
    <t>Rehabilitation of the Circular Primary Clarifier Scum Removal System</t>
  </si>
  <si>
    <t>Returned Activated Sludge (RAS) Pumps, Influent Mixed Liquor System and Motor Control Centers (MCC) Improvements for Secondary Clarifiers</t>
  </si>
  <si>
    <t>Secondary Treatment &amp; Disinfection</t>
  </si>
  <si>
    <t>Nicolas Nicolas</t>
  </si>
  <si>
    <t>Aeration System Improvements</t>
  </si>
  <si>
    <t>Rehabilitation of the Secondary Clarifiers</t>
  </si>
  <si>
    <t>Sanjeev Mungarwadi</t>
  </si>
  <si>
    <t>Rouge River Outfall (RRO) Disinfection (Alternative)</t>
  </si>
  <si>
    <t>Phosphorous Recovery at WRRF</t>
  </si>
  <si>
    <t>Residuals Management</t>
  </si>
  <si>
    <t>Replacement of Belt Filter Presses for Complex I and Upper Level Complex II</t>
  </si>
  <si>
    <t>Vinod Sharma / Nicolas Nicolas</t>
  </si>
  <si>
    <t>Rehabilitation of Central Offload Facility</t>
  </si>
  <si>
    <t>Kashmira Pate</t>
  </si>
  <si>
    <t>Darrel Field</t>
  </si>
  <si>
    <t>Improvements to Sludge Feed Pumps at Dewatering Facilities</t>
  </si>
  <si>
    <t>Modification to Incinerator Sludge Feed Systems at Complex -II</t>
  </si>
  <si>
    <t>Construction of new Industrial Waste Control Division and Analytical Laboratory Operations</t>
  </si>
  <si>
    <t>IWC</t>
  </si>
  <si>
    <t>Rehabilitation of Combined Sewer Overflow (CSO) Retention Treatment Basins (RTB) Screening (Replaces CIP1313)</t>
  </si>
  <si>
    <t>CSO RTB &amp; SDF</t>
  </si>
  <si>
    <t>Plant-wide Fire Alarm Systems Upgrade/ Integration and Fire Protection Improvements</t>
  </si>
  <si>
    <t>Vinod Sharma</t>
  </si>
  <si>
    <t>Rehabilitation of the Main Plant Maintenance Building, Replacement of Various Plant Maintenance Areas and Work Environment Improvement</t>
  </si>
  <si>
    <t>Rehabilitation of the Screened Final Effluent (SFE) Pump Station and Secondary Water System</t>
  </si>
  <si>
    <t>DTE Primary Electric 3rd Feed Supply to WRRF</t>
  </si>
  <si>
    <t>Sewer and Interceptor Evaluation and Rehabilitation Program</t>
  </si>
  <si>
    <t>Interceptors</t>
  </si>
  <si>
    <t>Oakwood District Intercommunity Relief Sewer Modification at Oakwood District</t>
  </si>
  <si>
    <t>Detroit River Interceptor (DRI) Evaluation and Rehabilitation</t>
  </si>
  <si>
    <t>North Interceptor East Arm (NIEA) Evaluation and Rehabilitation</t>
  </si>
  <si>
    <t>Collection System Valve Remote Operation Structures Improvements</t>
  </si>
  <si>
    <t>Collection System Access Hatch Improvements</t>
  </si>
  <si>
    <t>Fairview Pumping Station - Replace Four Sanitary Pumps</t>
  </si>
  <si>
    <t>Pumping Stations</t>
  </si>
  <si>
    <t>Freud &amp; Conner Creek Pump Station Improvements</t>
  </si>
  <si>
    <t>Northeast Pumping Station</t>
  </si>
  <si>
    <t>Collection System Backwater Gates and Regulator Gates Rehabilitation</t>
  </si>
  <si>
    <t>In System Devices</t>
  </si>
  <si>
    <t>Collection System In System Storage Devices (ISDs) Improvement</t>
  </si>
  <si>
    <t>Scheduled Replacement Program of Critical Assets</t>
  </si>
  <si>
    <t>Sewage Meter Design, Installation, Replacement and Rehabilitation Program</t>
  </si>
  <si>
    <t>Wastewater Treatment Plant, Lift Station and Wastewater Collection System Structures Allowance</t>
  </si>
  <si>
    <t>Sanjeev Mungarwadi &amp; Biren Saparia</t>
  </si>
  <si>
    <t>Wastewater System Wide Instrumentation &amp; Control Software and Hardware Upgrade</t>
  </si>
  <si>
    <t>Roofing Systems Replacement at Water Plants and Booster Pump Stations</t>
  </si>
  <si>
    <t>Facilities</t>
  </si>
  <si>
    <t>Roofing Systems Replacement at GLWA Wastewater Treatment Plant CSO Retention Treatment Basins (RTB) and Screening Disinfection Facilities (SDF)</t>
  </si>
  <si>
    <t>Tarlochan Bhullar / Paula Anderson</t>
  </si>
  <si>
    <t>Energy Management:  Electric Metering Improvement Program</t>
  </si>
  <si>
    <t>Energy Management</t>
  </si>
  <si>
    <t>Shaker Manns</t>
  </si>
  <si>
    <t>Water Facility Lighting Renovations</t>
  </si>
  <si>
    <t>As-needed CIP Implementation Assistance and Related Services (1)</t>
  </si>
  <si>
    <t>Engineering</t>
  </si>
  <si>
    <t>Gaylor Johnson / Dan Edwards</t>
  </si>
  <si>
    <t>Department-wide General Engineering Services on an As-needed Basis (1)</t>
  </si>
  <si>
    <t>General Engineering Services (1)</t>
  </si>
  <si>
    <t>As-needed Engineering Services for Concrete Testing, Geotechnical Soil Borings, other Testing Services, and Related Services</t>
  </si>
  <si>
    <t>Consolidated Process Control System Upgrades</t>
  </si>
  <si>
    <t>Geotechnical and Related Services on an As-Needed Basis</t>
  </si>
  <si>
    <t>Data Center Reliability/Availability Improvements (1)</t>
  </si>
  <si>
    <t>SCADA Radio Network Upgrade (1)</t>
  </si>
  <si>
    <t>Phases Key</t>
  </si>
  <si>
    <t>Budget</t>
  </si>
  <si>
    <t>Category</t>
  </si>
  <si>
    <t>Contract No</t>
  </si>
  <si>
    <t>Status</t>
  </si>
  <si>
    <t>D/C</t>
  </si>
  <si>
    <t>Not Yet Started</t>
  </si>
  <si>
    <t>C</t>
  </si>
  <si>
    <t>D/CA</t>
  </si>
  <si>
    <t>CS-1732</t>
  </si>
  <si>
    <t>S</t>
  </si>
  <si>
    <t>LH-397</t>
  </si>
  <si>
    <t>D</t>
  </si>
  <si>
    <t>CS-1771</t>
  </si>
  <si>
    <t>S/D/C</t>
  </si>
  <si>
    <t>CS-1744</t>
  </si>
  <si>
    <t>SW-548</t>
  </si>
  <si>
    <t>Pending Close-out</t>
  </si>
  <si>
    <t>CS-1730</t>
  </si>
  <si>
    <t>SP-563</t>
  </si>
  <si>
    <t>Active</t>
  </si>
  <si>
    <t>S/D/CA</t>
  </si>
  <si>
    <t>CS-1425</t>
  </si>
  <si>
    <t>S/D/CA/C</t>
  </si>
  <si>
    <t>SP-570</t>
  </si>
  <si>
    <t>CS-1772</t>
  </si>
  <si>
    <t>CS-1671</t>
  </si>
  <si>
    <t>SCP-CS-038</t>
  </si>
  <si>
    <t>Under Procurement</t>
  </si>
  <si>
    <t>WW-538</t>
  </si>
  <si>
    <t>D/CA/C</t>
  </si>
  <si>
    <t>DB</t>
  </si>
  <si>
    <t>New</t>
  </si>
  <si>
    <t>WS-681</t>
  </si>
  <si>
    <t>DWS-891</t>
  </si>
  <si>
    <t>WS-691</t>
  </si>
  <si>
    <t>WS-693</t>
  </si>
  <si>
    <t>WS-684A</t>
  </si>
  <si>
    <t>MOU-4848</t>
  </si>
  <si>
    <t>DWS-858</t>
  </si>
  <si>
    <t>PM</t>
  </si>
  <si>
    <t>DWS-874</t>
  </si>
  <si>
    <t>DWS-896</t>
  </si>
  <si>
    <t>CS-1749</t>
  </si>
  <si>
    <t>CS-1528</t>
  </si>
  <si>
    <t>CS-1726</t>
  </si>
  <si>
    <t>S/D/CM</t>
  </si>
  <si>
    <t>CS-1433</t>
  </si>
  <si>
    <t>CS-1499</t>
  </si>
  <si>
    <t>CS-1432A</t>
  </si>
  <si>
    <t>CS-1488</t>
  </si>
  <si>
    <t>PC-773C</t>
  </si>
  <si>
    <t>CS-1490</t>
  </si>
  <si>
    <t>CS-1481</t>
  </si>
  <si>
    <t>DWS-881</t>
  </si>
  <si>
    <t>DWS-882</t>
  </si>
  <si>
    <t>PC-757</t>
  </si>
  <si>
    <t>CS-1444</t>
  </si>
  <si>
    <t>PC-795</t>
  </si>
  <si>
    <t>CS-1484</t>
  </si>
  <si>
    <t>PC-789</t>
  </si>
  <si>
    <t>PC-776</t>
  </si>
  <si>
    <t>PC-796</t>
  </si>
  <si>
    <t>CS-1498</t>
  </si>
  <si>
    <t>CS-1448</t>
  </si>
  <si>
    <t>PC-786</t>
  </si>
  <si>
    <t>CM</t>
  </si>
  <si>
    <t>CS-1781</t>
  </si>
  <si>
    <t>PC-797</t>
  </si>
  <si>
    <t>PC-787</t>
  </si>
  <si>
    <t>CS-1483</t>
  </si>
  <si>
    <t>CS-1701</t>
  </si>
  <si>
    <t>PC-791</t>
  </si>
  <si>
    <t>PC-792</t>
  </si>
  <si>
    <t>PC-783</t>
  </si>
  <si>
    <t>CS-1449</t>
  </si>
  <si>
    <t>PC-782</t>
  </si>
  <si>
    <t>CS-1443</t>
  </si>
  <si>
    <t>CS-068</t>
  </si>
  <si>
    <t>CS-1747</t>
  </si>
  <si>
    <t>PO</t>
  </si>
  <si>
    <t>SCP-001</t>
  </si>
  <si>
    <t>Project Classification #</t>
  </si>
  <si>
    <t>1230c</t>
  </si>
  <si>
    <t>CON-105</t>
  </si>
  <si>
    <t>NEW CIP #</t>
  </si>
  <si>
    <t>Centralized Services</t>
  </si>
  <si>
    <t>Grant Gartrell / Sanjeev Mungarwadi</t>
  </si>
  <si>
    <t>Southwest Water Treatment Plant, Sludge Treatment &amp; Waste Wash water Treatment Facilities</t>
  </si>
  <si>
    <t>Water Main Replacement within the City of Detroit - Joy Rd from Greenfield to Schaefer and Davison Ave from Lindwood to Livernois</t>
  </si>
  <si>
    <t>CIP Type</t>
  </si>
  <si>
    <t>Total</t>
  </si>
  <si>
    <t>Bond</t>
  </si>
  <si>
    <t>I&amp;E</t>
  </si>
  <si>
    <t>DE</t>
  </si>
  <si>
    <t>SWIPP Grant/ Bond</t>
  </si>
  <si>
    <t>SRF</t>
  </si>
  <si>
    <t>SAWL/SRF</t>
  </si>
  <si>
    <t>Split</t>
  </si>
  <si>
    <t>Pump Station No. 2 Improvements Phase II at Wastewater Treatment Plant (WRRF)</t>
  </si>
  <si>
    <t>Study, Design, &amp; Construction Management Services for Modified Detroit River Outfall No. 2 - WRRF</t>
  </si>
  <si>
    <t>Replacement of Chlorination and Dechlorination Equipment at the WRRF</t>
  </si>
  <si>
    <t>Rouge River Outfall No. 2 (RRO-2) Segment 1 - WRRF Modifications</t>
  </si>
  <si>
    <t>Sewage Sludge Incinerator Air Quality Improvements at WRRF</t>
  </si>
  <si>
    <t>Biosolids Dryer Facility at WRRF</t>
  </si>
  <si>
    <t>Complex I Incinerators Decommissioning and Reusability at Wastewater Treatment Plant (WRRF)</t>
  </si>
  <si>
    <t>Underground Electrical Duct Bank Repair and EB-1, EB-2, and EB-10 Primary Power Service Improvements - WRRF</t>
  </si>
  <si>
    <t>Study/ Repair Potable Water, Screened Final Effluent, Natural Gas and Compressed Air Pipe Lines at the WRRF</t>
  </si>
  <si>
    <t>Rehabilitation of Grit and Screening System at PS-2 and Rehabilitation of Sampling Sites at WRRF</t>
  </si>
  <si>
    <t>Rehabilitation of the Ash Handling Systems</t>
  </si>
  <si>
    <t>CS-103</t>
  </si>
  <si>
    <t>SCP-CS-045</t>
  </si>
  <si>
    <t>CS-171</t>
  </si>
  <si>
    <t>CS-165</t>
  </si>
  <si>
    <t>CS-151</t>
  </si>
  <si>
    <t>DB-150</t>
  </si>
  <si>
    <t>CS-152</t>
  </si>
  <si>
    <t>CON-144</t>
  </si>
  <si>
    <t>CON-145</t>
  </si>
  <si>
    <t>CS-116</t>
  </si>
  <si>
    <t>CS-060</t>
  </si>
  <si>
    <t>PO-005030</t>
  </si>
  <si>
    <t>SCP-PC-016G</t>
  </si>
  <si>
    <t>CON-143</t>
  </si>
  <si>
    <t>DWS-065</t>
  </si>
  <si>
    <t>CON-109</t>
  </si>
  <si>
    <t>PC-773D</t>
  </si>
  <si>
    <t>SCP-PC-014</t>
  </si>
  <si>
    <t>CS-172</t>
  </si>
  <si>
    <t>Programs</t>
  </si>
  <si>
    <t>CA</t>
  </si>
  <si>
    <t>SCP-CS-054</t>
  </si>
  <si>
    <t>SCP-CS-052</t>
  </si>
  <si>
    <t>CS-1721</t>
  </si>
  <si>
    <t>Springwells WTP Underground Fire Protection Loop Improvements</t>
  </si>
  <si>
    <t>CSO Outfall Rehabilitation</t>
  </si>
  <si>
    <t>Water Works Park WTP Chlorine System Upgrade</t>
  </si>
  <si>
    <t>NIEA Evaluation and Rehabilitation from WRRF to Gratiot Ave. and Sylvester St.</t>
  </si>
  <si>
    <t>Emergency Grating Replacement at Springwells WTP</t>
  </si>
  <si>
    <t>Genesee and Lapeer County Transmission System Improvements</t>
  </si>
  <si>
    <t>30-Inch Water main</t>
  </si>
  <si>
    <t>CTA</t>
  </si>
  <si>
    <t>83/17</t>
  </si>
  <si>
    <t>Suburban Only</t>
  </si>
  <si>
    <t>&gt; 20</t>
  </si>
  <si>
    <t>&lt; 20</t>
  </si>
  <si>
    <t>Cost Allocation</t>
  </si>
  <si>
    <t>Useful Life</t>
  </si>
  <si>
    <t>OMID</t>
  </si>
  <si>
    <t>TFG Financing Source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</si>
</sst>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##0;###0"/>
    <numFmt numFmtId="166" formatCode="m/d/yy;@"/>
    <numFmt numFmtId="167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color theme="5" tint="-0.249977111117893"/>
      <name val="Times New Roman"/>
      <family val="1"/>
    </font>
    <font>
      <i/>
      <sz val="11"/>
      <color theme="5" tint="-0.249977111117893"/>
      <name val="Times New Roman"/>
      <family val="1"/>
    </font>
    <font>
      <i/>
      <sz val="11"/>
      <color rgb="FF0070C0"/>
      <name val="Times New Roman"/>
      <family val="1"/>
    </font>
    <font>
      <sz val="11"/>
      <color theme="4" tint="-0.249977111117893"/>
      <name val="Times New Roman"/>
      <family val="1"/>
    </font>
    <font>
      <sz val="11"/>
      <color rgb="FF7030A0"/>
      <name val="Times New Roman"/>
      <family val="1"/>
    </font>
    <font>
      <i/>
      <sz val="11"/>
      <color theme="4" tint="-0.249977111117893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trike/>
      <sz val="11"/>
      <color theme="1"/>
      <name val="Calibri"/>
      <family val="2"/>
      <scheme val="minor"/>
    </font>
    <font>
      <i/>
      <strike/>
      <sz val="11"/>
      <color theme="5" tint="-0.249977111117893"/>
      <name val="Times New Roman"/>
      <family val="1"/>
    </font>
    <font>
      <strike/>
      <sz val="11"/>
      <color theme="5" tint="-0.249977111117893"/>
      <name val="Times New Roman"/>
      <family val="1"/>
    </font>
    <font>
      <i/>
      <strike/>
      <sz val="11"/>
      <color rgb="FF0070C0"/>
      <name val="Times New Roman"/>
      <family val="1"/>
    </font>
    <font>
      <strike/>
      <sz val="11"/>
      <color theme="4" tint="-0.249977111117893"/>
      <name val="Times New Roman"/>
      <family val="1"/>
    </font>
    <font>
      <strike/>
      <sz val="11"/>
      <color rgb="FF7030A0"/>
      <name val="Times New Roman"/>
      <family val="1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trike/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trike/>
      <sz val="11"/>
      <color theme="4" tint="-0.249977111117893"/>
      <name val="Times New Roman"/>
      <family val="1"/>
    </font>
    <font>
      <strike/>
      <sz val="11"/>
      <color theme="4" tint="-0.249977111117893"/>
      <name val="Calibri"/>
      <family val="2"/>
      <scheme val="minor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56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48">
    <xf numFmtId="0" fontId="0" fillId="0" borderId="0" xfId="0"/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3" fontId="13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2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3" fontId="12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2" borderId="0" xfId="0" applyFont="1" applyFill="1" applyBorder="1" applyAlignment="1" applyProtection="1">
      <alignment horizontal="center" vertical="center" textRotation="90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66" fontId="15" fillId="0" borderId="0" xfId="0" applyNumberFormat="1" applyFont="1" applyFill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0" xfId="0" applyNumberFormat="1" applyFont="1" applyFill="1" applyAlignment="1" applyProtection="1">
      <alignment horizontal="center" vertical="center"/>
      <protection locked="0"/>
    </xf>
    <xf numFmtId="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166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3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165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66" fontId="19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166" fontId="1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166" fontId="17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165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 wrapText="1"/>
      <protection locked="0"/>
    </xf>
    <xf numFmtId="0" fontId="34" fillId="0" borderId="0" xfId="0" applyFont="1" applyFill="1" applyAlignment="1" applyProtection="1">
      <alignment vertical="center" wrapText="1"/>
      <protection locked="0"/>
    </xf>
    <xf numFmtId="0" fontId="47" fillId="0" borderId="0" xfId="0" applyFont="1" applyFill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vertical="center" wrapText="1"/>
      <protection locked="0"/>
    </xf>
    <xf numFmtId="0" fontId="38" fillId="0" borderId="0" xfId="0" applyFont="1" applyFill="1" applyAlignment="1" applyProtection="1">
      <alignment vertical="center" wrapText="1"/>
      <protection locked="0"/>
    </xf>
    <xf numFmtId="3" fontId="14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left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66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left" vertical="center" wrapText="1"/>
      <protection locked="0"/>
    </xf>
    <xf numFmtId="0" fontId="19" fillId="0" borderId="0" xfId="0" applyNumberFormat="1" applyFont="1" applyFill="1" applyAlignment="1" applyProtection="1">
      <alignment vertical="center" wrapText="1"/>
      <protection locked="0"/>
    </xf>
    <xf numFmtId="0" fontId="14" fillId="0" borderId="0" xfId="0" applyNumberFormat="1" applyFont="1" applyFill="1" applyAlignment="1" applyProtection="1">
      <alignment vertical="center" wrapText="1"/>
      <protection locked="0"/>
    </xf>
    <xf numFmtId="0" fontId="17" fillId="0" borderId="0" xfId="0" applyNumberFormat="1" applyFont="1" applyFill="1" applyAlignment="1" applyProtection="1">
      <alignment vertical="center" wrapText="1"/>
      <protection locked="0"/>
    </xf>
    <xf numFmtId="0" fontId="33" fillId="0" borderId="0" xfId="0" applyFont="1" applyFill="1" applyAlignment="1" applyProtection="1">
      <alignment wrapText="1"/>
      <protection locked="0"/>
    </xf>
    <xf numFmtId="0" fontId="48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Alignment="1" applyProtection="1">
      <alignment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66" fontId="13" fillId="0" borderId="0" xfId="0" applyNumberFormat="1" applyFont="1" applyFill="1" applyAlignment="1" applyProtection="1">
      <alignment horizontal="center" vertical="center" wrapText="1"/>
      <protection locked="0"/>
    </xf>
    <xf numFmtId="3" fontId="12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3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Font="1" applyAlignment="1" applyProtection="1">
      <alignment wrapText="1"/>
      <protection locked="0"/>
    </xf>
    <xf numFmtId="0" fontId="42" fillId="0" borderId="0" xfId="0" applyFont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3" fontId="15" fillId="0" borderId="0" xfId="0" applyNumberFormat="1" applyFont="1" applyFill="1" applyBorder="1" applyAlignment="1" applyProtection="1">
      <alignment vertical="center" wrapText="1"/>
    </xf>
    <xf numFmtId="3" fontId="15" fillId="0" borderId="0" xfId="1" applyNumberFormat="1" applyFont="1" applyFill="1" applyAlignment="1" applyProtection="1">
      <alignment vertical="center" wrapText="1"/>
    </xf>
    <xf numFmtId="3" fontId="18" fillId="0" borderId="1" xfId="1" applyNumberFormat="1" applyFont="1" applyFill="1" applyBorder="1" applyAlignment="1" applyProtection="1">
      <alignment vertical="center" wrapText="1"/>
    </xf>
    <xf numFmtId="3" fontId="18" fillId="0" borderId="0" xfId="1" applyNumberFormat="1" applyFont="1" applyFill="1" applyBorder="1" applyAlignment="1" applyProtection="1">
      <alignment vertical="center" wrapText="1"/>
    </xf>
    <xf numFmtId="3" fontId="18" fillId="0" borderId="2" xfId="1" applyNumberFormat="1" applyFont="1" applyFill="1" applyBorder="1" applyAlignment="1" applyProtection="1">
      <alignment vertical="center" wrapText="1"/>
    </xf>
    <xf numFmtId="3" fontId="18" fillId="0" borderId="0" xfId="1" applyNumberFormat="1" applyFont="1" applyFill="1" applyAlignment="1" applyProtection="1">
      <alignment vertical="center" wrapText="1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1" applyNumberFormat="1" applyFont="1" applyFill="1" applyAlignment="1" applyProtection="1">
      <alignment vertical="center" wrapText="1"/>
    </xf>
    <xf numFmtId="3" fontId="21" fillId="0" borderId="1" xfId="1" applyNumberFormat="1" applyFont="1" applyFill="1" applyBorder="1" applyAlignment="1" applyProtection="1">
      <alignment vertical="center" wrapText="1"/>
    </xf>
    <xf numFmtId="3" fontId="21" fillId="0" borderId="0" xfId="1" applyNumberFormat="1" applyFont="1" applyFill="1" applyBorder="1" applyAlignment="1" applyProtection="1">
      <alignment vertical="center" wrapText="1"/>
    </xf>
    <xf numFmtId="3" fontId="21" fillId="0" borderId="2" xfId="1" applyNumberFormat="1" applyFont="1" applyFill="1" applyBorder="1" applyAlignment="1" applyProtection="1">
      <alignment vertical="center" wrapText="1"/>
    </xf>
    <xf numFmtId="3" fontId="21" fillId="0" borderId="0" xfId="1" applyNumberFormat="1" applyFont="1" applyFill="1" applyAlignment="1" applyProtection="1">
      <alignment vertical="center" wrapText="1"/>
    </xf>
    <xf numFmtId="3" fontId="21" fillId="0" borderId="0" xfId="0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Alignment="1" applyProtection="1">
      <alignment vertical="center" wrapText="1"/>
    </xf>
    <xf numFmtId="3" fontId="26" fillId="0" borderId="1" xfId="1" applyNumberFormat="1" applyFont="1" applyFill="1" applyBorder="1" applyAlignment="1" applyProtection="1">
      <alignment vertical="center" wrapText="1"/>
    </xf>
    <xf numFmtId="3" fontId="26" fillId="0" borderId="0" xfId="1" applyNumberFormat="1" applyFont="1" applyFill="1" applyBorder="1" applyAlignment="1" applyProtection="1">
      <alignment vertical="center" wrapText="1"/>
    </xf>
    <xf numFmtId="3" fontId="26" fillId="0" borderId="2" xfId="1" applyNumberFormat="1" applyFont="1" applyFill="1" applyBorder="1" applyAlignment="1" applyProtection="1">
      <alignment vertical="center" wrapText="1"/>
    </xf>
    <xf numFmtId="3" fontId="26" fillId="0" borderId="0" xfId="1" applyNumberFormat="1" applyFont="1" applyFill="1" applyAlignment="1" applyProtection="1">
      <alignment vertical="center" wrapText="1"/>
    </xf>
    <xf numFmtId="3" fontId="26" fillId="0" borderId="0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vertical="center" wrapText="1"/>
    </xf>
    <xf numFmtId="3" fontId="19" fillId="0" borderId="0" xfId="1" applyNumberFormat="1" applyFont="1" applyFill="1" applyAlignment="1" applyProtection="1">
      <alignment vertical="center" wrapText="1"/>
    </xf>
    <xf numFmtId="3" fontId="25" fillId="0" borderId="1" xfId="1" applyNumberFormat="1" applyFont="1" applyFill="1" applyBorder="1" applyAlignment="1" applyProtection="1">
      <alignment vertical="center" wrapText="1"/>
    </xf>
    <xf numFmtId="3" fontId="25" fillId="0" borderId="0" xfId="1" applyNumberFormat="1" applyFont="1" applyFill="1" applyBorder="1" applyAlignment="1" applyProtection="1">
      <alignment vertical="center" wrapText="1"/>
    </xf>
    <xf numFmtId="3" fontId="25" fillId="0" borderId="2" xfId="1" applyNumberFormat="1" applyFont="1" applyFill="1" applyBorder="1" applyAlignment="1" applyProtection="1">
      <alignment vertical="center" wrapText="1"/>
    </xf>
    <xf numFmtId="3" fontId="25" fillId="0" borderId="0" xfId="1" applyNumberFormat="1" applyFont="1" applyFill="1" applyAlignment="1" applyProtection="1">
      <alignment vertical="center" wrapText="1"/>
    </xf>
    <xf numFmtId="3" fontId="2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vertical="center" wrapText="1"/>
    </xf>
    <xf numFmtId="3" fontId="19" fillId="0" borderId="0" xfId="1" applyNumberFormat="1" applyFont="1" applyFill="1" applyBorder="1" applyAlignment="1" applyProtection="1">
      <alignment vertical="center" wrapText="1"/>
    </xf>
    <xf numFmtId="3" fontId="17" fillId="0" borderId="0" xfId="1" applyNumberFormat="1" applyFont="1" applyFill="1" applyBorder="1" applyAlignment="1" applyProtection="1">
      <alignment vertical="center" wrapText="1"/>
    </xf>
    <xf numFmtId="3" fontId="14" fillId="0" borderId="0" xfId="1" applyNumberFormat="1" applyFont="1" applyFill="1" applyBorder="1" applyAlignment="1" applyProtection="1">
      <alignment vertical="center" wrapText="1"/>
    </xf>
    <xf numFmtId="3" fontId="19" fillId="0" borderId="0" xfId="1" quotePrefix="1" applyNumberFormat="1" applyFont="1" applyFill="1" applyAlignment="1" applyProtection="1">
      <alignment vertical="center" wrapText="1"/>
    </xf>
    <xf numFmtId="3" fontId="19" fillId="0" borderId="0" xfId="1" quotePrefix="1" applyNumberFormat="1" applyFont="1" applyFill="1" applyAlignment="1" applyProtection="1">
      <alignment horizontal="right" vertical="center" wrapText="1"/>
    </xf>
    <xf numFmtId="3" fontId="25" fillId="0" borderId="1" xfId="1" quotePrefix="1" applyNumberFormat="1" applyFont="1" applyFill="1" applyBorder="1" applyAlignment="1" applyProtection="1">
      <alignment horizontal="right" vertical="center" wrapText="1"/>
    </xf>
    <xf numFmtId="3" fontId="26" fillId="0" borderId="0" xfId="0" applyNumberFormat="1" applyFont="1" applyFill="1" applyAlignment="1" applyProtection="1">
      <alignment horizontal="center" vertical="center" wrapText="1"/>
    </xf>
    <xf numFmtId="3" fontId="21" fillId="0" borderId="0" xfId="0" applyNumberFormat="1" applyFont="1" applyFill="1" applyAlignment="1" applyProtection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</xf>
    <xf numFmtId="3" fontId="15" fillId="0" borderId="0" xfId="1" applyNumberFormat="1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Alignment="1" applyProtection="1">
      <alignment horizontal="right" vertical="center" wrapText="1"/>
    </xf>
    <xf numFmtId="3" fontId="25" fillId="0" borderId="0" xfId="0" applyNumberFormat="1" applyFont="1" applyFill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3" fontId="13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2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3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165" fontId="14" fillId="0" borderId="0" xfId="0" applyNumberFormat="1" applyFont="1" applyFill="1" applyAlignment="1" applyProtection="1">
      <alignment horizontal="center" vertical="center" wrapText="1"/>
      <protection locked="0"/>
    </xf>
    <xf numFmtId="164" fontId="14" fillId="0" borderId="0" xfId="0" applyNumberFormat="1" applyFont="1" applyFill="1" applyAlignment="1" applyProtection="1">
      <alignment horizontal="center" vertical="center" wrapText="1"/>
      <protection locked="0"/>
    </xf>
    <xf numFmtId="3" fontId="14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16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164" fontId="15" fillId="0" borderId="0" xfId="0" applyNumberFormat="1" applyFont="1" applyFill="1" applyAlignment="1" applyProtection="1">
      <alignment horizontal="center" vertical="center" wrapText="1"/>
      <protection locked="0"/>
    </xf>
    <xf numFmtId="3" fontId="15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3" fontId="11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165" fontId="4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167" fontId="13" fillId="0" borderId="0" xfId="6" applyNumberFormat="1" applyFont="1" applyFill="1" applyAlignment="1" applyProtection="1">
      <alignment vertical="center" wrapText="1"/>
      <protection locked="0"/>
    </xf>
    <xf numFmtId="3" fontId="13" fillId="0" borderId="0" xfId="0" applyNumberFormat="1" applyFont="1" applyFill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 applyProtection="1">
      <alignment vertical="center" wrapText="1"/>
      <protection locked="0"/>
    </xf>
    <xf numFmtId="3" fontId="12" fillId="0" borderId="0" xfId="0" applyNumberFormat="1" applyFont="1" applyFill="1" applyAlignment="1" applyProtection="1">
      <alignment vertical="center" wrapText="1"/>
      <protection locked="0"/>
    </xf>
    <xf numFmtId="3" fontId="12" fillId="0" borderId="2" xfId="0" applyNumberFormat="1" applyFont="1" applyFill="1" applyBorder="1" applyAlignment="1" applyProtection="1">
      <alignment vertical="center" wrapText="1"/>
      <protection locked="0"/>
    </xf>
    <xf numFmtId="0" fontId="49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alignment vertical="center" wrapText="1"/>
    </xf>
    <xf numFmtId="3" fontId="11" fillId="0" borderId="0" xfId="1" applyNumberFormat="1" applyFont="1" applyFill="1" applyAlignment="1" applyProtection="1">
      <alignment vertical="center" wrapText="1"/>
    </xf>
    <xf numFmtId="3" fontId="16" fillId="0" borderId="1" xfId="1" applyNumberFormat="1" applyFont="1" applyFill="1" applyBorder="1" applyAlignment="1" applyProtection="1">
      <alignment vertical="center" wrapText="1"/>
    </xf>
    <xf numFmtId="3" fontId="16" fillId="0" borderId="0" xfId="1" applyNumberFormat="1" applyFont="1" applyFill="1" applyBorder="1" applyAlignment="1" applyProtection="1">
      <alignment vertical="center" wrapText="1"/>
    </xf>
    <xf numFmtId="3" fontId="16" fillId="0" borderId="2" xfId="1" applyNumberFormat="1" applyFont="1" applyFill="1" applyBorder="1" applyAlignment="1" applyProtection="1">
      <alignment vertical="center" wrapText="1"/>
    </xf>
    <xf numFmtId="3" fontId="16" fillId="0" borderId="0" xfId="1" applyNumberFormat="1" applyFont="1" applyFill="1" applyAlignment="1" applyProtection="1">
      <alignment vertical="center" wrapText="1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3" fontId="20" fillId="0" borderId="0" xfId="1" applyNumberFormat="1" applyFont="1" applyFill="1" applyAlignment="1" applyProtection="1">
      <alignment vertical="center" wrapText="1"/>
    </xf>
    <xf numFmtId="3" fontId="22" fillId="0" borderId="1" xfId="1" applyNumberFormat="1" applyFont="1" applyFill="1" applyBorder="1" applyAlignment="1" applyProtection="1">
      <alignment vertical="center" wrapText="1"/>
    </xf>
    <xf numFmtId="3" fontId="22" fillId="0" borderId="0" xfId="1" applyNumberFormat="1" applyFont="1" applyFill="1" applyBorder="1" applyAlignment="1" applyProtection="1">
      <alignment vertical="center" wrapText="1"/>
    </xf>
    <xf numFmtId="3" fontId="22" fillId="0" borderId="2" xfId="1" applyNumberFormat="1" applyFont="1" applyFill="1" applyBorder="1" applyAlignment="1" applyProtection="1">
      <alignment vertical="center" wrapText="1"/>
    </xf>
    <xf numFmtId="3" fontId="22" fillId="0" borderId="0" xfId="1" applyNumberFormat="1" applyFont="1" applyFill="1" applyAlignment="1" applyProtection="1">
      <alignment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3" fontId="11" fillId="0" borderId="0" xfId="1" quotePrefix="1" applyNumberFormat="1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horizontal="center" vertical="center" wrapText="1"/>
    </xf>
    <xf numFmtId="3" fontId="11" fillId="0" borderId="0" xfId="1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40" fillId="0" borderId="0" xfId="1" applyNumberFormat="1" applyFont="1" applyFill="1" applyBorder="1" applyAlignment="1" applyProtection="1">
      <alignment vertical="center" wrapText="1"/>
    </xf>
    <xf numFmtId="3" fontId="39" fillId="0" borderId="1" xfId="1" applyNumberFormat="1" applyFont="1" applyFill="1" applyBorder="1" applyAlignment="1" applyProtection="1">
      <alignment vertical="center" wrapText="1"/>
    </xf>
    <xf numFmtId="3" fontId="39" fillId="0" borderId="0" xfId="1" applyNumberFormat="1" applyFont="1" applyFill="1" applyBorder="1" applyAlignment="1" applyProtection="1">
      <alignment vertical="center" wrapText="1"/>
    </xf>
    <xf numFmtId="3" fontId="39" fillId="0" borderId="2" xfId="1" applyNumberFormat="1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 wrapText="1"/>
    </xf>
  </cellXfs>
  <cellStyles count="566">
    <cellStyle name="Comma" xfId="6" builtinId="3"/>
    <cellStyle name="Comma 2" xfId="8"/>
    <cellStyle name="Currency" xfId="1" builtinId="4"/>
    <cellStyle name="Currency 3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Normal" xfId="0" builtinId="0"/>
    <cellStyle name="Normal 2" xfId="7"/>
    <cellStyle name="Normal 3" xfId="2"/>
    <cellStyle name="Normal 3 2" xfId="5"/>
    <cellStyle name="Normal 4" xfId="3"/>
    <cellStyle name="Percent 2" xfId="9"/>
  </cellStyles>
  <dxfs count="1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bgColor auto="1"/>
        </patternFill>
      </fill>
      <alignment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000000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auto="1"/>
        </right>
        <top/>
        <bottom/>
      </border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ck">
          <color auto="1"/>
        </left>
        <right/>
        <top/>
        <bottom/>
      </border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0"/>
      </font>
      <protection locked="0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rgb="FF000000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87CC"/>
      <color rgb="FFB51BA3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rojectsTable" displayName="ProjectsTable" ref="A1:X136" totalsRowCount="1" headerRowDxfId="109" dataDxfId="108" totalsRowDxfId="106" tableBorderDxfId="107">
  <autoFilter ref="A1:X135"/>
  <sortState ref="A2:X135">
    <sortCondition ref="B1:B135"/>
  </sortState>
  <tableColumns count="24">
    <tableColumn id="27" name="Projects Key" totalsRowLabel="Total" dataDxfId="105" totalsRowDxfId="104"/>
    <tableColumn id="1" name="CIP #" totalsRowFunction="count" dataDxfId="103" totalsRowDxfId="102"/>
    <tableColumn id="2" name="Title" dataDxfId="101" totalsRowDxfId="100"/>
    <tableColumn id="22" name="CIP Type" dataDxfId="99" totalsRowDxfId="98"/>
    <tableColumn id="31" name="Year Added" dataDxfId="97" totalsRowDxfId="96"/>
    <tableColumn id="3" name="Project Classification #" dataDxfId="95" totalsRowDxfId="94"/>
    <tableColumn id="38" name="NEW CIP #" dataDxfId="93" totalsRowDxfId="92"/>
    <tableColumn id="4" name="Budget" dataDxfId="91" totalsRowDxfId="90"/>
    <tableColumn id="5" name="Project Classification 1" dataDxfId="89" totalsRowDxfId="88"/>
    <tableColumn id="6" name="Project Classification 2" dataDxfId="87" totalsRowDxfId="86"/>
    <tableColumn id="7" name="Project Classification 3" dataDxfId="85" totalsRowDxfId="84"/>
    <tableColumn id="28" name="Project Manager Prioritization Score" dataDxfId="83" totalsRowDxfId="82"/>
    <tableColumn id="11" name="Review Committee Prioritization Score" dataDxfId="81" totalsRowDxfId="80"/>
    <tableColumn id="12" name="Lifetime Actual Thru FY 2016 (Unaudited)" totalsRowFunction="sum" dataDxfId="79" totalsRowDxfId="78" dataCellStyle="Comma">
      <calculatedColumnFormula>ROUND(SUMIF(PhasesTable[CIP '#],ProjectsTable[[#This Row],[CIP '#]],PhasesTable[Lifetime Actual Thru FY 2016 (Unaudited)]),0)</calculatedColumnFormula>
    </tableColumn>
    <tableColumn id="13" name="Projected Expenditures FY 2017" totalsRowFunction="sum" dataDxfId="77" totalsRowDxfId="76" dataCellStyle="Currency">
      <calculatedColumnFormula>ROUND(SUMIF(PhasesTable[CIP '#],ProjectsTable[[#This Row],[CIP '#]],PhasesTable[Projected Expenditures FY 2017]),0)</calculatedColumnFormula>
    </tableColumn>
    <tableColumn id="14" name="Projected Expenditures FY 2018" totalsRowFunction="sum" dataDxfId="75" totalsRowDxfId="74" dataCellStyle="Currency">
      <calculatedColumnFormula>ROUND(SUMIF(PhasesTable[CIP '#],ProjectsTable[[#This Row],[CIP '#]],PhasesTable[Projected Expenditures FY 2018]),0)</calculatedColumnFormula>
    </tableColumn>
    <tableColumn id="15" name="Projected Expenditures FY 2019" totalsRowFunction="sum" dataDxfId="73" totalsRowDxfId="72" dataCellStyle="Currency">
      <calculatedColumnFormula>ROUND(SUMIF(PhasesTable[CIP '#],ProjectsTable[[#This Row],[CIP '#]],PhasesTable[Projected Expenditures FY 2019]),0)</calculatedColumnFormula>
    </tableColumn>
    <tableColumn id="16" name="Projected Expenditures FY 2020" totalsRowFunction="sum" dataDxfId="71" totalsRowDxfId="70" dataCellStyle="Currency">
      <calculatedColumnFormula>ROUND(SUMIF(PhasesTable[CIP '#],ProjectsTable[[#This Row],[CIP '#]],PhasesTable[Projected Expenditures FY 2020]),0)</calculatedColumnFormula>
    </tableColumn>
    <tableColumn id="17" name="Projected Expenditures FY 2021" totalsRowFunction="sum" dataDxfId="69" totalsRowDxfId="68" dataCellStyle="Currency">
      <calculatedColumnFormula>ROUND(SUMIF(PhasesTable[CIP '#],ProjectsTable[[#This Row],[CIP '#]],PhasesTable[Projected Expenditures FY 2021]),0)</calculatedColumnFormula>
    </tableColumn>
    <tableColumn id="18" name="Projected Expenditures FY 2022" totalsRowFunction="sum" dataDxfId="67" totalsRowDxfId="66" dataCellStyle="Currency">
      <calculatedColumnFormula>ROUND(SUMIF(PhasesTable[CIP '#],ProjectsTable[[#This Row],[CIP '#]],PhasesTable[Projected Expenditures FY 2022]),0)</calculatedColumnFormula>
    </tableColumn>
    <tableColumn id="19" name="Projected Expenditures FY 2023 &amp; Beyond" totalsRowFunction="sum" dataDxfId="65" totalsRowDxfId="64" dataCellStyle="Currency">
      <calculatedColumnFormula>ROUND(SUMIF(PhasesTable[CIP '#],ProjectsTable[[#This Row],[CIP '#]],PhasesTable[Projected Expenditures FY 2023 &amp; Beyond]),0)</calculatedColumnFormula>
    </tableColumn>
    <tableColumn id="30" name="2018-2022 CIP Total" totalsRowFunction="sum" dataDxfId="63" totalsRowDxfId="62" dataCellStyle="Currency">
      <calculatedColumnFormula>ROUND(SUMIF(PhasesTable[CIP '#],ProjectsTable[[#This Row],[CIP '#]],PhasesTable[2018-2022 CIP Total]),0)</calculatedColumnFormula>
    </tableColumn>
    <tableColumn id="20" name="Project Total" totalsRowFunction="sum" dataDxfId="61" totalsRowDxfId="60">
      <calculatedColumnFormula>ROUND(SUMIF(PhasesTable[CIP '#],ProjectsTable[[#This Row],[CIP '#]],PhasesTable[Project Total]),0)</calculatedColumnFormula>
    </tableColumn>
    <tableColumn id="26" name="Project Manager" dataDxfId="59" totalsRowDxfId="58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PhasesTable" displayName="PhasesTable" ref="A1:AA232" totalsRowCount="1" headerRowDxfId="57" dataDxfId="56" totalsRowDxfId="54" tableBorderDxfId="55">
  <autoFilter ref="A1:AA231"/>
  <sortState ref="A2:AA231">
    <sortCondition ref="B1:B231"/>
  </sortState>
  <tableColumns count="27">
    <tableColumn id="2" name="Phases Key" dataDxfId="53" totalsRowDxfId="52"/>
    <tableColumn id="1" name="CIP #" dataDxfId="51" totalsRowDxfId="50"/>
    <tableColumn id="52" name="Title" dataDxfId="49" totalsRowDxfId="48"/>
    <tableColumn id="26" name="Project Classification #" dataDxfId="47" totalsRowDxfId="46">
      <calculatedColumnFormula>VLOOKUP(PhasesTable[[#This Row],[CIP '#]],ProjectsTable[[CIP '#]:[Project Classification 3]],5,FALSE)</calculatedColumnFormula>
    </tableColumn>
    <tableColumn id="28" name="NEW CIP #" dataDxfId="45" totalsRowDxfId="44">
      <calculatedColumnFormula>VLOOKUP(PhasesTable[[#This Row],[CIP '#]],ProjectsTable[[CIP '#]:[Project Classification 3]],6,FALSE)</calculatedColumnFormula>
    </tableColumn>
    <tableColumn id="10" name="Budget" dataDxfId="43" totalsRowDxfId="42"/>
    <tableColumn id="5" name="Project Classification 1" dataDxfId="41" totalsRowDxfId="40">
      <calculatedColumnFormula>VLOOKUP(PhasesTable[[#This Row],[CIP '#]],ProjectsTable[[CIP '#]:[Project Classification 3]],8,FALSE)</calculatedColumnFormula>
    </tableColumn>
    <tableColumn id="6" name="Project Classification 2" dataDxfId="39" totalsRowDxfId="38">
      <calculatedColumnFormula>VLOOKUP(PhasesTable[[#This Row],[CIP '#]],ProjectsTable[[CIP '#]:[Project Classification 3]],9,FALSE)</calculatedColumnFormula>
    </tableColumn>
    <tableColumn id="7" name="Project Classification 3" dataDxfId="37" totalsRowDxfId="36">
      <calculatedColumnFormula>VLOOKUP(PhasesTable[[#This Row],[CIP '#]],ProjectsTable[[CIP '#]:[Project Classification 3]],10,FALSE)</calculatedColumnFormula>
    </tableColumn>
    <tableColumn id="27" name="Category" dataDxfId="35" totalsRowDxfId="34"/>
    <tableColumn id="3" name="Contract No" dataDxfId="33" totalsRowDxfId="32"/>
    <tableColumn id="4" name="Status" dataDxfId="31" totalsRowDxfId="30"/>
    <tableColumn id="8" name="Start Date" dataDxfId="29" totalsRowDxfId="28"/>
    <tableColumn id="9" name="End Date" dataDxfId="27" totalsRowDxfId="26"/>
    <tableColumn id="12" name="Lifetime Actual Thru FY 2016 (Unaudited)" totalsRowFunction="sum" dataDxfId="25" totalsRowDxfId="24" dataCellStyle="Currency"/>
    <tableColumn id="13" name="Projected Expenditures FY 2017" totalsRowFunction="sum" dataDxfId="23" totalsRowDxfId="22" dataCellStyle="Currency"/>
    <tableColumn id="14" name="Projected Expenditures FY 2018" totalsRowFunction="sum" dataDxfId="21" totalsRowDxfId="20" dataCellStyle="Currency"/>
    <tableColumn id="15" name="Projected Expenditures FY 2019" totalsRowFunction="sum" dataDxfId="19" totalsRowDxfId="18" dataCellStyle="Currency"/>
    <tableColumn id="16" name="Projected Expenditures FY 2020" totalsRowFunction="sum" dataDxfId="17" totalsRowDxfId="16" dataCellStyle="Currency"/>
    <tableColumn id="17" name="Projected Expenditures FY 2021" totalsRowFunction="sum" dataDxfId="15" totalsRowDxfId="14" dataCellStyle="Currency"/>
    <tableColumn id="18" name="Projected Expenditures FY 2022" totalsRowFunction="sum" dataDxfId="13" totalsRowDxfId="12" dataCellStyle="Currency"/>
    <tableColumn id="19" name="Projected Expenditures FY 2023 &amp; Beyond" totalsRowFunction="sum" dataDxfId="11" totalsRowDxfId="10" dataCellStyle="Currency"/>
    <tableColumn id="30" name="2018-2022 CIP Total" totalsRowFunction="sum" dataDxfId="9" totalsRowDxfId="8" dataCellStyle="Currency">
      <calculatedColumnFormula>SUM(Q2:U2)</calculatedColumnFormula>
    </tableColumn>
    <tableColumn id="20" name="Project Total" totalsRowFunction="sum" dataDxfId="7" totalsRowDxfId="6">
      <calculatedColumnFormula>SUM(O2:V2)</calculatedColumnFormula>
    </tableColumn>
    <tableColumn id="11" name="Useful Life" dataDxfId="5" totalsRowDxfId="4"/>
    <tableColumn id="53" name="TFG Financing Source Work" dataDxfId="3" totalsRowDxfId="2"/>
    <tableColumn id="41" name="Cost Allocation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136"/>
  <sheetViews>
    <sheetView tabSelected="1" topLeftCell="B1" zoomScale="85" zoomScaleNormal="85" zoomScalePageLayoutView="125" workbookViewId="0">
      <pane xSplit="2" ySplit="1" topLeftCell="I2" activePane="bottomRight" state="frozen"/>
      <selection activeCell="B1" sqref="B1"/>
      <selection pane="topRight" activeCell="D1" sqref="D1"/>
      <selection pane="bottomLeft" activeCell="B2" sqref="B2"/>
      <selection pane="bottomRight" activeCell="C3" sqref="C3"/>
    </sheetView>
  </sheetViews>
  <sheetFormatPr defaultColWidth="66.3984375" defaultRowHeight="14.25" x14ac:dyDescent="0.45"/>
  <cols>
    <col min="1" max="1" width="8.73046875" style="219" hidden="1" customWidth="1"/>
    <col min="2" max="2" width="8" style="219" customWidth="1"/>
    <col min="3" max="3" width="51" style="220" customWidth="1"/>
    <col min="4" max="4" width="11.3984375" style="221" customWidth="1"/>
    <col min="5" max="5" width="7.1328125" style="221" customWidth="1"/>
    <col min="6" max="6" width="12.1328125" style="221" customWidth="1"/>
    <col min="7" max="7" width="10.1328125" style="221" customWidth="1"/>
    <col min="8" max="8" width="12.1328125" style="221" customWidth="1"/>
    <col min="9" max="9" width="11.73046875" style="220" customWidth="1"/>
    <col min="10" max="10" width="11.3984375" style="220" customWidth="1"/>
    <col min="11" max="11" width="12.3984375" style="221" customWidth="1"/>
    <col min="12" max="12" width="15" style="221" customWidth="1"/>
    <col min="13" max="13" width="13.3984375" style="221" customWidth="1"/>
    <col min="14" max="14" width="10" style="221" customWidth="1"/>
    <col min="15" max="15" width="9.3984375" style="222" customWidth="1"/>
    <col min="16" max="17" width="10.73046875" style="223" customWidth="1"/>
    <col min="18" max="18" width="10.1328125" style="223" customWidth="1"/>
    <col min="19" max="19" width="9.3984375" style="223" customWidth="1"/>
    <col min="20" max="21" width="10.1328125" style="224" customWidth="1"/>
    <col min="22" max="23" width="10" style="224" bestFit="1" customWidth="1"/>
    <col min="24" max="24" width="10.33203125" style="225" customWidth="1"/>
    <col min="25" max="16384" width="66.3984375" style="208"/>
  </cols>
  <sheetData>
    <row r="1" spans="1:24" s="8" customFormat="1" ht="120.4" customHeight="1" x14ac:dyDescent="0.45">
      <c r="A1" s="150" t="s">
        <v>0</v>
      </c>
      <c r="B1" s="150" t="s">
        <v>1</v>
      </c>
      <c r="C1" s="151" t="s">
        <v>2</v>
      </c>
      <c r="D1" s="151" t="s">
        <v>284</v>
      </c>
      <c r="E1" s="151" t="s">
        <v>3</v>
      </c>
      <c r="F1" s="151" t="s">
        <v>276</v>
      </c>
      <c r="G1" s="151" t="s">
        <v>279</v>
      </c>
      <c r="H1" s="151" t="s">
        <v>195</v>
      </c>
      <c r="I1" s="151" t="s">
        <v>4</v>
      </c>
      <c r="J1" s="151" t="s">
        <v>5</v>
      </c>
      <c r="K1" s="151" t="s">
        <v>6</v>
      </c>
      <c r="L1" s="151" t="s">
        <v>9</v>
      </c>
      <c r="M1" s="152" t="s">
        <v>10</v>
      </c>
      <c r="N1" s="153" t="s">
        <v>11</v>
      </c>
      <c r="O1" s="154" t="s">
        <v>12</v>
      </c>
      <c r="P1" s="155" t="s">
        <v>13</v>
      </c>
      <c r="Q1" s="153" t="s">
        <v>14</v>
      </c>
      <c r="R1" s="153" t="s">
        <v>15</v>
      </c>
      <c r="S1" s="153" t="s">
        <v>16</v>
      </c>
      <c r="T1" s="156" t="s">
        <v>17</v>
      </c>
      <c r="U1" s="154" t="s">
        <v>18</v>
      </c>
      <c r="V1" s="153" t="s">
        <v>19</v>
      </c>
      <c r="W1" s="153" t="s">
        <v>20</v>
      </c>
      <c r="X1" s="157" t="s">
        <v>21</v>
      </c>
    </row>
    <row r="2" spans="1:24" s="18" customFormat="1" ht="42.75" x14ac:dyDescent="0.45">
      <c r="A2" s="158">
        <v>10</v>
      </c>
      <c r="B2" s="159">
        <v>262</v>
      </c>
      <c r="C2" s="160" t="s">
        <v>282</v>
      </c>
      <c r="D2" s="161" t="s">
        <v>23</v>
      </c>
      <c r="E2" s="162">
        <v>2003</v>
      </c>
      <c r="F2" s="162">
        <v>113</v>
      </c>
      <c r="G2" s="162">
        <v>113001</v>
      </c>
      <c r="H2" s="162" t="s">
        <v>24</v>
      </c>
      <c r="I2" s="162" t="s">
        <v>24</v>
      </c>
      <c r="J2" s="162" t="s">
        <v>25</v>
      </c>
      <c r="K2" s="162" t="s">
        <v>40</v>
      </c>
      <c r="L2" s="161" t="s">
        <v>27</v>
      </c>
      <c r="M2" s="163" t="s">
        <v>27</v>
      </c>
      <c r="N2" s="226">
        <f>ROUND(SUMIF(PhasesTable[CIP '#],ProjectsTable[[#This Row],[CIP '#]],PhasesTable[Lifetime Actual Thru FY 2016 (Unaudited)]),0)</f>
        <v>47587</v>
      </c>
      <c r="O2" s="227">
        <f>ROUND(SUMIF(PhasesTable[CIP '#],ProjectsTable[[#This Row],[CIP '#]],PhasesTable[Projected Expenditures FY 2017]),0)</f>
        <v>0</v>
      </c>
      <c r="P2" s="228">
        <f>ROUND(SUMIF(PhasesTable[CIP '#],ProjectsTable[[#This Row],[CIP '#]],PhasesTable[Projected Expenditures FY 2018]),0)</f>
        <v>1793</v>
      </c>
      <c r="Q2" s="229">
        <f>ROUND(SUMIF(PhasesTable[CIP '#],ProjectsTable[[#This Row],[CIP '#]],PhasesTable[Projected Expenditures FY 2019]),0)</f>
        <v>0</v>
      </c>
      <c r="R2" s="229">
        <f>ROUND(SUMIF(PhasesTable[CIP '#],ProjectsTable[[#This Row],[CIP '#]],PhasesTable[Projected Expenditures FY 2020]),0)</f>
        <v>0</v>
      </c>
      <c r="S2" s="229">
        <f>ROUND(SUMIF(PhasesTable[CIP '#],ProjectsTable[[#This Row],[CIP '#]],PhasesTable[Projected Expenditures FY 2021]),0)</f>
        <v>0</v>
      </c>
      <c r="T2" s="230">
        <f>ROUND(SUMIF(PhasesTable[CIP '#],ProjectsTable[[#This Row],[CIP '#]],PhasesTable[Projected Expenditures FY 2022]),0)</f>
        <v>0</v>
      </c>
      <c r="U2" s="227">
        <f>ROUND(SUMIF(PhasesTable[CIP '#],ProjectsTable[[#This Row],[CIP '#]],PhasesTable[Projected Expenditures FY 2023 &amp; Beyond]),0)</f>
        <v>0</v>
      </c>
      <c r="V2" s="231">
        <f>ROUND(SUMIF(PhasesTable[CIP '#],ProjectsTable[[#This Row],[CIP '#]],PhasesTable[2018-2022 CIP Total]),0)</f>
        <v>1793</v>
      </c>
      <c r="W2" s="232">
        <f>ROUND(SUMIF(PhasesTable[CIP '#],ProjectsTable[[#This Row],[CIP '#]],PhasesTable[Project Total]),0)</f>
        <v>49380</v>
      </c>
      <c r="X2" s="164" t="s">
        <v>41</v>
      </c>
    </row>
    <row r="3" spans="1:24" s="43" customFormat="1" ht="28.5" x14ac:dyDescent="0.45">
      <c r="A3" s="20">
        <v>69</v>
      </c>
      <c r="B3" s="165">
        <v>291</v>
      </c>
      <c r="C3" s="166" t="s">
        <v>118</v>
      </c>
      <c r="D3" s="23" t="s">
        <v>23</v>
      </c>
      <c r="E3" s="55">
        <v>1999</v>
      </c>
      <c r="F3" s="55">
        <v>211</v>
      </c>
      <c r="G3" s="55">
        <v>211001</v>
      </c>
      <c r="H3" s="55" t="s">
        <v>119</v>
      </c>
      <c r="I3" s="55" t="s">
        <v>119</v>
      </c>
      <c r="J3" s="55" t="s">
        <v>72</v>
      </c>
      <c r="K3" s="55" t="s">
        <v>120</v>
      </c>
      <c r="L3" s="167" t="s">
        <v>27</v>
      </c>
      <c r="M3" s="168" t="s">
        <v>27</v>
      </c>
      <c r="N3" s="117">
        <f>ROUND(SUMIF(PhasesTable[CIP '#],ProjectsTable[[#This Row],[CIP '#]],PhasesTable[Lifetime Actual Thru FY 2016 (Unaudited)]),0)</f>
        <v>0</v>
      </c>
      <c r="O3" s="117">
        <f>ROUND(SUMIF(PhasesTable[CIP '#],ProjectsTable[[#This Row],[CIP '#]],PhasesTable[Projected Expenditures FY 2017]),0)</f>
        <v>10848</v>
      </c>
      <c r="P3" s="118">
        <f>ROUND(SUMIF(PhasesTable[CIP '#],ProjectsTable[[#This Row],[CIP '#]],PhasesTable[Projected Expenditures FY 2018]),0)</f>
        <v>12097</v>
      </c>
      <c r="Q3" s="119">
        <f>ROUND(SUMIF(PhasesTable[CIP '#],ProjectsTable[[#This Row],[CIP '#]],PhasesTable[Projected Expenditures FY 2019]),0)</f>
        <v>20990</v>
      </c>
      <c r="R3" s="119">
        <f>ROUND(SUMIF(PhasesTable[CIP '#],ProjectsTable[[#This Row],[CIP '#]],PhasesTable[Projected Expenditures FY 2020]),0)</f>
        <v>7968</v>
      </c>
      <c r="S3" s="119">
        <f>ROUND(SUMIF(PhasesTable[CIP '#],ProjectsTable[[#This Row],[CIP '#]],PhasesTable[Projected Expenditures FY 2021]),0)</f>
        <v>0</v>
      </c>
      <c r="T3" s="120">
        <f>ROUND(SUMIF(PhasesTable[CIP '#],ProjectsTable[[#This Row],[CIP '#]],PhasesTable[Projected Expenditures FY 2022]),0)</f>
        <v>0</v>
      </c>
      <c r="U3" s="117">
        <f>ROUND(SUMIF(PhasesTable[CIP '#],ProjectsTable[[#This Row],[CIP '#]],PhasesTable[Projected Expenditures FY 2023 &amp; Beyond]),0)</f>
        <v>0</v>
      </c>
      <c r="V3" s="121">
        <f>ROUND(SUMIF(PhasesTable[CIP '#],ProjectsTable[[#This Row],[CIP '#]],PhasesTable[2018-2022 CIP Total]),0)</f>
        <v>41055</v>
      </c>
      <c r="W3" s="122">
        <f>ROUND(SUMIF(PhasesTable[CIP '#],ProjectsTable[[#This Row],[CIP '#]],PhasesTable[Project Total]),0)</f>
        <v>51903</v>
      </c>
      <c r="X3" s="169" t="s">
        <v>121</v>
      </c>
    </row>
    <row r="4" spans="1:24" s="43" customFormat="1" ht="28.5" x14ac:dyDescent="0.45">
      <c r="A4" s="20">
        <v>96</v>
      </c>
      <c r="B4" s="165">
        <v>366</v>
      </c>
      <c r="C4" s="166" t="s">
        <v>300</v>
      </c>
      <c r="D4" s="23" t="s">
        <v>23</v>
      </c>
      <c r="E4" s="55">
        <v>1998</v>
      </c>
      <c r="F4" s="55">
        <v>216</v>
      </c>
      <c r="G4" s="55">
        <v>216001</v>
      </c>
      <c r="H4" s="55" t="s">
        <v>119</v>
      </c>
      <c r="I4" s="55" t="s">
        <v>119</v>
      </c>
      <c r="J4" s="55" t="s">
        <v>72</v>
      </c>
      <c r="K4" s="55" t="s">
        <v>67</v>
      </c>
      <c r="L4" s="167" t="s">
        <v>27</v>
      </c>
      <c r="M4" s="168" t="s">
        <v>27</v>
      </c>
      <c r="N4" s="117">
        <f>ROUND(SUMIF(PhasesTable[CIP '#],ProjectsTable[[#This Row],[CIP '#]],PhasesTable[Lifetime Actual Thru FY 2016 (Unaudited)]),0)</f>
        <v>23037</v>
      </c>
      <c r="O4" s="117">
        <f>ROUND(SUMIF(PhasesTable[CIP '#],ProjectsTable[[#This Row],[CIP '#]],PhasesTable[Projected Expenditures FY 2017]),0)</f>
        <v>2575</v>
      </c>
      <c r="P4" s="118">
        <f>ROUND(SUMIF(PhasesTable[CIP '#],ProjectsTable[[#This Row],[CIP '#]],PhasesTable[Projected Expenditures FY 2018]),0)</f>
        <v>1532</v>
      </c>
      <c r="Q4" s="119">
        <f>ROUND(SUMIF(PhasesTable[CIP '#],ProjectsTable[[#This Row],[CIP '#]],PhasesTable[Projected Expenditures FY 2019]),0)</f>
        <v>0</v>
      </c>
      <c r="R4" s="119">
        <f>ROUND(SUMIF(PhasesTable[CIP '#],ProjectsTable[[#This Row],[CIP '#]],PhasesTable[Projected Expenditures FY 2020]),0)</f>
        <v>0</v>
      </c>
      <c r="S4" s="119">
        <f>ROUND(SUMIF(PhasesTable[CIP '#],ProjectsTable[[#This Row],[CIP '#]],PhasesTable[Projected Expenditures FY 2021]),0)</f>
        <v>0</v>
      </c>
      <c r="T4" s="120">
        <f>ROUND(SUMIF(PhasesTable[CIP '#],ProjectsTable[[#This Row],[CIP '#]],PhasesTable[Projected Expenditures FY 2022]),0)</f>
        <v>0</v>
      </c>
      <c r="U4" s="117">
        <f>ROUND(SUMIF(PhasesTable[CIP '#],ProjectsTable[[#This Row],[CIP '#]],PhasesTable[Projected Expenditures FY 2023 &amp; Beyond]),0)</f>
        <v>0</v>
      </c>
      <c r="V4" s="121">
        <f>ROUND(SUMIF(PhasesTable[CIP '#],ProjectsTable[[#This Row],[CIP '#]],PhasesTable[2018-2022 CIP Total]),0)</f>
        <v>1532</v>
      </c>
      <c r="W4" s="122">
        <f>ROUND(SUMIF(PhasesTable[CIP '#],ProjectsTable[[#This Row],[CIP '#]],PhasesTable[Project Total]),0)</f>
        <v>27144</v>
      </c>
      <c r="X4" s="169" t="s">
        <v>47</v>
      </c>
    </row>
    <row r="5" spans="1:24" s="18" customFormat="1" ht="42.75" x14ac:dyDescent="0.45">
      <c r="A5" s="158">
        <v>14</v>
      </c>
      <c r="B5" s="159">
        <v>917</v>
      </c>
      <c r="C5" s="160" t="s">
        <v>45</v>
      </c>
      <c r="D5" s="13" t="s">
        <v>23</v>
      </c>
      <c r="E5" s="170">
        <v>2002</v>
      </c>
      <c r="F5" s="170">
        <v>114</v>
      </c>
      <c r="G5" s="170">
        <v>114001</v>
      </c>
      <c r="H5" s="170" t="s">
        <v>24</v>
      </c>
      <c r="I5" s="12" t="s">
        <v>24</v>
      </c>
      <c r="J5" s="13" t="s">
        <v>25</v>
      </c>
      <c r="K5" s="13" t="s">
        <v>46</v>
      </c>
      <c r="L5" s="171" t="s">
        <v>27</v>
      </c>
      <c r="M5" s="163" t="s">
        <v>27</v>
      </c>
      <c r="N5" s="146">
        <f>ROUND(SUMIF(PhasesTable[CIP '#],ProjectsTable[[#This Row],[CIP '#]],PhasesTable[Lifetime Actual Thru FY 2016 (Unaudited)]),0)</f>
        <v>56759</v>
      </c>
      <c r="O5" s="111">
        <f>ROUND(SUMIF(PhasesTable[CIP '#],ProjectsTable[[#This Row],[CIP '#]],PhasesTable[Projected Expenditures FY 2017]),0)</f>
        <v>20353</v>
      </c>
      <c r="P5" s="112">
        <f>ROUND(SUMIF(PhasesTable[CIP '#],ProjectsTable[[#This Row],[CIP '#]],PhasesTable[Projected Expenditures FY 2018]),0)</f>
        <v>310</v>
      </c>
      <c r="Q5" s="113">
        <f>ROUND(SUMIF(PhasesTable[CIP '#],ProjectsTable[[#This Row],[CIP '#]],PhasesTable[Projected Expenditures FY 2019]),0)</f>
        <v>0</v>
      </c>
      <c r="R5" s="113">
        <f>ROUND(SUMIF(PhasesTable[CIP '#],ProjectsTable[[#This Row],[CIP '#]],PhasesTable[Projected Expenditures FY 2020]),0)</f>
        <v>0</v>
      </c>
      <c r="S5" s="113">
        <f>ROUND(SUMIF(PhasesTable[CIP '#],ProjectsTable[[#This Row],[CIP '#]],PhasesTable[Projected Expenditures FY 2021]),0)</f>
        <v>0</v>
      </c>
      <c r="T5" s="114">
        <f>ROUND(SUMIF(PhasesTable[CIP '#],ProjectsTable[[#This Row],[CIP '#]],PhasesTable[Projected Expenditures FY 2022]),0)</f>
        <v>0</v>
      </c>
      <c r="U5" s="111">
        <f>ROUND(SUMIF(PhasesTable[CIP '#],ProjectsTable[[#This Row],[CIP '#]],PhasesTable[Projected Expenditures FY 2023 &amp; Beyond]),0)</f>
        <v>0</v>
      </c>
      <c r="V5" s="115">
        <f>ROUND(SUMIF(PhasesTable[CIP '#],ProjectsTable[[#This Row],[CIP '#]],PhasesTable[2018-2022 CIP Total]),0)</f>
        <v>310</v>
      </c>
      <c r="W5" s="116">
        <f>ROUND(SUMIF(PhasesTable[CIP '#],ProjectsTable[[#This Row],[CIP '#]],PhasesTable[Project Total]),0)</f>
        <v>77422</v>
      </c>
      <c r="X5" s="164" t="s">
        <v>47</v>
      </c>
    </row>
    <row r="6" spans="1:24" s="43" customFormat="1" ht="57" x14ac:dyDescent="0.45">
      <c r="A6" s="172">
        <v>125</v>
      </c>
      <c r="B6" s="173">
        <v>956</v>
      </c>
      <c r="C6" s="174" t="s">
        <v>184</v>
      </c>
      <c r="D6" s="175" t="s">
        <v>116</v>
      </c>
      <c r="E6" s="175">
        <v>2002</v>
      </c>
      <c r="F6" s="175">
        <v>3804</v>
      </c>
      <c r="G6" s="175">
        <v>380400</v>
      </c>
      <c r="H6" s="175" t="s">
        <v>292</v>
      </c>
      <c r="I6" s="175" t="s">
        <v>280</v>
      </c>
      <c r="J6" s="175" t="s">
        <v>323</v>
      </c>
      <c r="K6" s="175" t="s">
        <v>323</v>
      </c>
      <c r="L6" s="175" t="s">
        <v>27</v>
      </c>
      <c r="M6" s="175" t="s">
        <v>27</v>
      </c>
      <c r="N6" s="233">
        <f>ROUND(SUMIF(PhasesTable[CIP '#],ProjectsTable[[#This Row],[CIP '#]],PhasesTable[Lifetime Actual Thru FY 2016 (Unaudited)]),0)</f>
        <v>4770</v>
      </c>
      <c r="O6" s="233">
        <f>ROUND(SUMIF(PhasesTable[CIP '#],ProjectsTable[[#This Row],[CIP '#]],PhasesTable[Projected Expenditures FY 2017]),0)</f>
        <v>1400</v>
      </c>
      <c r="P6" s="234">
        <f>ROUND(SUMIF(PhasesTable[CIP '#],ProjectsTable[[#This Row],[CIP '#]],PhasesTable[Projected Expenditures FY 2018]),0)</f>
        <v>100</v>
      </c>
      <c r="Q6" s="235">
        <f>ROUND(SUMIF(PhasesTable[CIP '#],ProjectsTable[[#This Row],[CIP '#]],PhasesTable[Projected Expenditures FY 2019]),0)</f>
        <v>0</v>
      </c>
      <c r="R6" s="235">
        <f>ROUND(SUMIF(PhasesTable[CIP '#],ProjectsTable[[#This Row],[CIP '#]],PhasesTable[Projected Expenditures FY 2020]),0)</f>
        <v>0</v>
      </c>
      <c r="S6" s="235">
        <f>ROUND(SUMIF(PhasesTable[CIP '#],ProjectsTable[[#This Row],[CIP '#]],PhasesTable[Projected Expenditures FY 2021]),0)</f>
        <v>0</v>
      </c>
      <c r="T6" s="236">
        <f>ROUND(SUMIF(PhasesTable[CIP '#],ProjectsTable[[#This Row],[CIP '#]],PhasesTable[Projected Expenditures FY 2022]),0)</f>
        <v>0</v>
      </c>
      <c r="U6" s="233">
        <f>ROUND(SUMIF(PhasesTable[CIP '#],ProjectsTable[[#This Row],[CIP '#]],PhasesTable[Projected Expenditures FY 2023 &amp; Beyond]),0)</f>
        <v>0</v>
      </c>
      <c r="V6" s="237">
        <f>ROUND(SUMIF(PhasesTable[CIP '#],ProjectsTable[[#This Row],[CIP '#]],PhasesTable[2018-2022 CIP Total]),0)</f>
        <v>100</v>
      </c>
      <c r="W6" s="238">
        <f>ROUND(SUMIF(PhasesTable[CIP '#],ProjectsTable[[#This Row],[CIP '#]],PhasesTable[Project Total]),0)</f>
        <v>6270</v>
      </c>
      <c r="X6" s="175" t="s">
        <v>186</v>
      </c>
    </row>
    <row r="7" spans="1:24" s="43" customFormat="1" ht="28.5" x14ac:dyDescent="0.45">
      <c r="A7" s="20">
        <v>70</v>
      </c>
      <c r="B7" s="165">
        <v>961</v>
      </c>
      <c r="C7" s="166" t="s">
        <v>122</v>
      </c>
      <c r="D7" s="23" t="s">
        <v>23</v>
      </c>
      <c r="E7" s="55">
        <v>2003</v>
      </c>
      <c r="F7" s="55">
        <v>211</v>
      </c>
      <c r="G7" s="55">
        <v>211002</v>
      </c>
      <c r="H7" s="55" t="s">
        <v>119</v>
      </c>
      <c r="I7" s="55" t="s">
        <v>119</v>
      </c>
      <c r="J7" s="55" t="s">
        <v>72</v>
      </c>
      <c r="K7" s="55" t="s">
        <v>120</v>
      </c>
      <c r="L7" s="167" t="s">
        <v>27</v>
      </c>
      <c r="M7" s="168" t="s">
        <v>27</v>
      </c>
      <c r="N7" s="117">
        <f>ROUND(SUMIF(PhasesTable[CIP '#],ProjectsTable[[#This Row],[CIP '#]],PhasesTable[Lifetime Actual Thru FY 2016 (Unaudited)]),0)</f>
        <v>456</v>
      </c>
      <c r="O7" s="117">
        <f>ROUND(SUMIF(PhasesTable[CIP '#],ProjectsTable[[#This Row],[CIP '#]],PhasesTable[Projected Expenditures FY 2017]),0)</f>
        <v>1157</v>
      </c>
      <c r="P7" s="118">
        <f>ROUND(SUMIF(PhasesTable[CIP '#],ProjectsTable[[#This Row],[CIP '#]],PhasesTable[Projected Expenditures FY 2018]),0)</f>
        <v>1304</v>
      </c>
      <c r="Q7" s="119">
        <f>ROUND(SUMIF(PhasesTable[CIP '#],ProjectsTable[[#This Row],[CIP '#]],PhasesTable[Projected Expenditures FY 2019]),0)</f>
        <v>616</v>
      </c>
      <c r="R7" s="119">
        <f>ROUND(SUMIF(PhasesTable[CIP '#],ProjectsTable[[#This Row],[CIP '#]],PhasesTable[Projected Expenditures FY 2020]),0)</f>
        <v>0</v>
      </c>
      <c r="S7" s="119">
        <f>ROUND(SUMIF(PhasesTable[CIP '#],ProjectsTable[[#This Row],[CIP '#]],PhasesTable[Projected Expenditures FY 2021]),0)</f>
        <v>0</v>
      </c>
      <c r="T7" s="120">
        <f>ROUND(SUMIF(PhasesTable[CIP '#],ProjectsTable[[#This Row],[CIP '#]],PhasesTable[Projected Expenditures FY 2022]),0)</f>
        <v>0</v>
      </c>
      <c r="U7" s="117">
        <f>ROUND(SUMIF(PhasesTable[CIP '#],ProjectsTable[[#This Row],[CIP '#]],PhasesTable[Projected Expenditures FY 2023 &amp; Beyond]),0)</f>
        <v>0</v>
      </c>
      <c r="V7" s="121">
        <f>ROUND(SUMIF(PhasesTable[CIP '#],ProjectsTable[[#This Row],[CIP '#]],PhasesTable[2018-2022 CIP Total]),0)</f>
        <v>1920</v>
      </c>
      <c r="W7" s="122">
        <f>ROUND(SUMIF(PhasesTable[CIP '#],ProjectsTable[[#This Row],[CIP '#]],PhasesTable[Project Total]),0)</f>
        <v>3533</v>
      </c>
      <c r="X7" s="169" t="s">
        <v>123</v>
      </c>
    </row>
    <row r="8" spans="1:24" s="18" customFormat="1" ht="28.5" x14ac:dyDescent="0.45">
      <c r="A8" s="172">
        <v>126</v>
      </c>
      <c r="B8" s="173">
        <v>1026</v>
      </c>
      <c r="C8" s="174" t="s">
        <v>187</v>
      </c>
      <c r="D8" s="175" t="s">
        <v>116</v>
      </c>
      <c r="E8" s="175">
        <v>2004</v>
      </c>
      <c r="F8" s="175">
        <v>3805</v>
      </c>
      <c r="G8" s="175">
        <v>380500</v>
      </c>
      <c r="H8" s="175" t="s">
        <v>292</v>
      </c>
      <c r="I8" s="175" t="s">
        <v>280</v>
      </c>
      <c r="J8" s="175" t="s">
        <v>323</v>
      </c>
      <c r="K8" s="175" t="s">
        <v>323</v>
      </c>
      <c r="L8" s="175" t="s">
        <v>27</v>
      </c>
      <c r="M8" s="175" t="s">
        <v>27</v>
      </c>
      <c r="N8" s="233">
        <f>ROUND(SUMIF(PhasesTable[CIP '#],ProjectsTable[[#This Row],[CIP '#]],PhasesTable[Lifetime Actual Thru FY 2016 (Unaudited)]),0)</f>
        <v>10065</v>
      </c>
      <c r="O8" s="233">
        <f>ROUND(SUMIF(PhasesTable[CIP '#],ProjectsTable[[#This Row],[CIP '#]],PhasesTable[Projected Expenditures FY 2017]),0)</f>
        <v>228</v>
      </c>
      <c r="P8" s="234">
        <f>ROUND(SUMIF(PhasesTable[CIP '#],ProjectsTable[[#This Row],[CIP '#]],PhasesTable[Projected Expenditures FY 2018]),0)</f>
        <v>228</v>
      </c>
      <c r="Q8" s="235">
        <f>ROUND(SUMIF(PhasesTable[CIP '#],ProjectsTable[[#This Row],[CIP '#]],PhasesTable[Projected Expenditures FY 2019]),0)</f>
        <v>0</v>
      </c>
      <c r="R8" s="235">
        <f>ROUND(SUMIF(PhasesTable[CIP '#],ProjectsTable[[#This Row],[CIP '#]],PhasesTable[Projected Expenditures FY 2020]),0)</f>
        <v>0</v>
      </c>
      <c r="S8" s="235">
        <f>ROUND(SUMIF(PhasesTable[CIP '#],ProjectsTable[[#This Row],[CIP '#]],PhasesTable[Projected Expenditures FY 2021]),0)</f>
        <v>0</v>
      </c>
      <c r="T8" s="236">
        <f>ROUND(SUMIF(PhasesTable[CIP '#],ProjectsTable[[#This Row],[CIP '#]],PhasesTable[Projected Expenditures FY 2022]),0)</f>
        <v>0</v>
      </c>
      <c r="U8" s="233">
        <f>ROUND(SUMIF(PhasesTable[CIP '#],ProjectsTable[[#This Row],[CIP '#]],PhasesTable[Projected Expenditures FY 2023 &amp; Beyond]),0)</f>
        <v>0</v>
      </c>
      <c r="V8" s="237">
        <f>ROUND(SUMIF(PhasesTable[CIP '#],ProjectsTable[[#This Row],[CIP '#]],PhasesTable[2018-2022 CIP Total]),0)</f>
        <v>228</v>
      </c>
      <c r="W8" s="238">
        <f>ROUND(SUMIF(PhasesTable[CIP '#],ProjectsTable[[#This Row],[CIP '#]],PhasesTable[Project Total]),0)</f>
        <v>10521</v>
      </c>
      <c r="X8" s="176" t="s">
        <v>125</v>
      </c>
    </row>
    <row r="9" spans="1:24" s="50" customFormat="1" ht="28.5" x14ac:dyDescent="0.45">
      <c r="A9" s="20">
        <v>97</v>
      </c>
      <c r="B9" s="165">
        <v>1028</v>
      </c>
      <c r="C9" s="166" t="s">
        <v>152</v>
      </c>
      <c r="D9" s="23" t="s">
        <v>23</v>
      </c>
      <c r="E9" s="55">
        <v>2004</v>
      </c>
      <c r="F9" s="55">
        <v>216</v>
      </c>
      <c r="G9" s="55">
        <v>216002</v>
      </c>
      <c r="H9" s="55" t="s">
        <v>119</v>
      </c>
      <c r="I9" s="55" t="s">
        <v>119</v>
      </c>
      <c r="J9" s="55" t="s">
        <v>72</v>
      </c>
      <c r="K9" s="55" t="s">
        <v>67</v>
      </c>
      <c r="L9" s="167" t="s">
        <v>27</v>
      </c>
      <c r="M9" s="168" t="s">
        <v>27</v>
      </c>
      <c r="N9" s="117">
        <f>ROUND(SUMIF(PhasesTable[CIP '#],ProjectsTable[[#This Row],[CIP '#]],PhasesTable[Lifetime Actual Thru FY 2016 (Unaudited)]),0)</f>
        <v>5390</v>
      </c>
      <c r="O9" s="117">
        <f>ROUND(SUMIF(PhasesTable[CIP '#],ProjectsTable[[#This Row],[CIP '#]],PhasesTable[Projected Expenditures FY 2017]),0)</f>
        <v>624</v>
      </c>
      <c r="P9" s="118">
        <f>ROUND(SUMIF(PhasesTable[CIP '#],ProjectsTable[[#This Row],[CIP '#]],PhasesTable[Projected Expenditures FY 2018]),0)</f>
        <v>0</v>
      </c>
      <c r="Q9" s="119">
        <f>ROUND(SUMIF(PhasesTable[CIP '#],ProjectsTable[[#This Row],[CIP '#]],PhasesTable[Projected Expenditures FY 2019]),0)</f>
        <v>0</v>
      </c>
      <c r="R9" s="119">
        <f>ROUND(SUMIF(PhasesTable[CIP '#],ProjectsTable[[#This Row],[CIP '#]],PhasesTable[Projected Expenditures FY 2020]),0)</f>
        <v>0</v>
      </c>
      <c r="S9" s="119">
        <f>ROUND(SUMIF(PhasesTable[CIP '#],ProjectsTable[[#This Row],[CIP '#]],PhasesTable[Projected Expenditures FY 2021]),0)</f>
        <v>0</v>
      </c>
      <c r="T9" s="120">
        <f>ROUND(SUMIF(PhasesTable[CIP '#],ProjectsTable[[#This Row],[CIP '#]],PhasesTable[Projected Expenditures FY 2022]),0)</f>
        <v>0</v>
      </c>
      <c r="U9" s="117">
        <f>ROUND(SUMIF(PhasesTable[CIP '#],ProjectsTable[[#This Row],[CIP '#]],PhasesTable[Projected Expenditures FY 2023 &amp; Beyond]),0)</f>
        <v>0</v>
      </c>
      <c r="V9" s="121">
        <f>ROUND(SUMIF(PhasesTable[CIP '#],ProjectsTable[[#This Row],[CIP '#]],PhasesTable[2018-2022 CIP Total]),0)</f>
        <v>0</v>
      </c>
      <c r="W9" s="122">
        <f>ROUND(SUMIF(PhasesTable[CIP '#],ProjectsTable[[#This Row],[CIP '#]],PhasesTable[Project Total]),0)</f>
        <v>6014</v>
      </c>
      <c r="X9" s="169" t="s">
        <v>153</v>
      </c>
    </row>
    <row r="10" spans="1:24" s="50" customFormat="1" ht="71.25" x14ac:dyDescent="0.45">
      <c r="A10" s="172">
        <v>127</v>
      </c>
      <c r="B10" s="173">
        <v>1031</v>
      </c>
      <c r="C10" s="174" t="s">
        <v>188</v>
      </c>
      <c r="D10" s="175" t="s">
        <v>116</v>
      </c>
      <c r="E10" s="175">
        <v>2004</v>
      </c>
      <c r="F10" s="175">
        <v>3806</v>
      </c>
      <c r="G10" s="175">
        <v>380600</v>
      </c>
      <c r="H10" s="175" t="s">
        <v>292</v>
      </c>
      <c r="I10" s="175" t="s">
        <v>280</v>
      </c>
      <c r="J10" s="175" t="s">
        <v>323</v>
      </c>
      <c r="K10" s="175" t="s">
        <v>323</v>
      </c>
      <c r="L10" s="175" t="s">
        <v>27</v>
      </c>
      <c r="M10" s="175" t="s">
        <v>27</v>
      </c>
      <c r="N10" s="233">
        <f>ROUND(SUMIF(PhasesTable[CIP '#],ProjectsTable[[#This Row],[CIP '#]],PhasesTable[Lifetime Actual Thru FY 2016 (Unaudited)]),0)</f>
        <v>14011</v>
      </c>
      <c r="O10" s="233">
        <f>ROUND(SUMIF(PhasesTable[CIP '#],ProjectsTable[[#This Row],[CIP '#]],PhasesTable[Projected Expenditures FY 2017]),0)</f>
        <v>446</v>
      </c>
      <c r="P10" s="234">
        <f>ROUND(SUMIF(PhasesTable[CIP '#],ProjectsTable[[#This Row],[CIP '#]],PhasesTable[Projected Expenditures FY 2018]),0)</f>
        <v>436</v>
      </c>
      <c r="Q10" s="235">
        <f>ROUND(SUMIF(PhasesTable[CIP '#],ProjectsTable[[#This Row],[CIP '#]],PhasesTable[Projected Expenditures FY 2019]),0)</f>
        <v>386</v>
      </c>
      <c r="R10" s="235">
        <f>ROUND(SUMIF(PhasesTable[CIP '#],ProjectsTable[[#This Row],[CIP '#]],PhasesTable[Projected Expenditures FY 2020]),0)</f>
        <v>0</v>
      </c>
      <c r="S10" s="235">
        <f>ROUND(SUMIF(PhasesTable[CIP '#],ProjectsTable[[#This Row],[CIP '#]],PhasesTable[Projected Expenditures FY 2021]),0)</f>
        <v>0</v>
      </c>
      <c r="T10" s="236">
        <f>ROUND(SUMIF(PhasesTable[CIP '#],ProjectsTable[[#This Row],[CIP '#]],PhasesTable[Projected Expenditures FY 2022]),0)</f>
        <v>0</v>
      </c>
      <c r="U10" s="233">
        <f>ROUND(SUMIF(PhasesTable[CIP '#],ProjectsTable[[#This Row],[CIP '#]],PhasesTable[Projected Expenditures FY 2023 &amp; Beyond]),0)</f>
        <v>0</v>
      </c>
      <c r="V10" s="237">
        <f>ROUND(SUMIF(PhasesTable[CIP '#],ProjectsTable[[#This Row],[CIP '#]],PhasesTable[2018-2022 CIP Total]),0)</f>
        <v>822</v>
      </c>
      <c r="W10" s="238">
        <f>ROUND(SUMIF(PhasesTable[CIP '#],ProjectsTable[[#This Row],[CIP '#]],PhasesTable[Project Total]),0)</f>
        <v>15279</v>
      </c>
      <c r="X10" s="176" t="s">
        <v>281</v>
      </c>
    </row>
    <row r="11" spans="1:24" s="50" customFormat="1" ht="42.75" x14ac:dyDescent="0.45">
      <c r="A11" s="158">
        <v>52</v>
      </c>
      <c r="B11" s="159">
        <v>1047</v>
      </c>
      <c r="C11" s="160" t="s">
        <v>96</v>
      </c>
      <c r="D11" s="161" t="s">
        <v>23</v>
      </c>
      <c r="E11" s="162">
        <v>2004</v>
      </c>
      <c r="F11" s="162">
        <v>132</v>
      </c>
      <c r="G11" s="162">
        <v>132001</v>
      </c>
      <c r="H11" s="162" t="s">
        <v>24</v>
      </c>
      <c r="I11" s="162" t="s">
        <v>24</v>
      </c>
      <c r="J11" s="162" t="s">
        <v>97</v>
      </c>
      <c r="K11" s="161" t="s">
        <v>98</v>
      </c>
      <c r="L11" s="161" t="s">
        <v>27</v>
      </c>
      <c r="M11" s="163" t="s">
        <v>27</v>
      </c>
      <c r="N11" s="226">
        <f>ROUND(SUMIF(PhasesTable[CIP '#],ProjectsTable[[#This Row],[CIP '#]],PhasesTable[Lifetime Actual Thru FY 2016 (Unaudited)]),0)</f>
        <v>13452</v>
      </c>
      <c r="O11" s="227">
        <f>ROUND(SUMIF(PhasesTable[CIP '#],ProjectsTable[[#This Row],[CIP '#]],PhasesTable[Projected Expenditures FY 2017]),0)</f>
        <v>250</v>
      </c>
      <c r="P11" s="228">
        <f>ROUND(SUMIF(PhasesTable[CIP '#],ProjectsTable[[#This Row],[CIP '#]],PhasesTable[Projected Expenditures FY 2018]),0)</f>
        <v>0</v>
      </c>
      <c r="Q11" s="229">
        <f>ROUND(SUMIF(PhasesTable[CIP '#],ProjectsTable[[#This Row],[CIP '#]],PhasesTable[Projected Expenditures FY 2019]),0)</f>
        <v>0</v>
      </c>
      <c r="R11" s="229">
        <f>ROUND(SUMIF(PhasesTable[CIP '#],ProjectsTable[[#This Row],[CIP '#]],PhasesTable[Projected Expenditures FY 2020]),0)</f>
        <v>0</v>
      </c>
      <c r="S11" s="229">
        <f>ROUND(SUMIF(PhasesTable[CIP '#],ProjectsTable[[#This Row],[CIP '#]],PhasesTable[Projected Expenditures FY 2021]),0)</f>
        <v>0</v>
      </c>
      <c r="T11" s="230">
        <f>ROUND(SUMIF(PhasesTable[CIP '#],ProjectsTable[[#This Row],[CIP '#]],PhasesTable[Projected Expenditures FY 2022]),0)</f>
        <v>0</v>
      </c>
      <c r="U11" s="227">
        <f>ROUND(SUMIF(PhasesTable[CIP '#],ProjectsTable[[#This Row],[CIP '#]],PhasesTable[Projected Expenditures FY 2023 &amp; Beyond]),0)</f>
        <v>0</v>
      </c>
      <c r="V11" s="231">
        <f>ROUND(SUMIF(PhasesTable[CIP '#],ProjectsTable[[#This Row],[CIP '#]],PhasesTable[2018-2022 CIP Total]),0)</f>
        <v>0</v>
      </c>
      <c r="W11" s="232">
        <f>ROUND(SUMIF(PhasesTable[CIP '#],ProjectsTable[[#This Row],[CIP '#]],PhasesTable[Project Total]),0)</f>
        <v>13702</v>
      </c>
      <c r="X11" s="164" t="s">
        <v>85</v>
      </c>
    </row>
    <row r="12" spans="1:24" s="50" customFormat="1" ht="42.75" x14ac:dyDescent="0.45">
      <c r="A12" s="158">
        <v>15</v>
      </c>
      <c r="B12" s="159">
        <v>1071</v>
      </c>
      <c r="C12" s="160" t="s">
        <v>48</v>
      </c>
      <c r="D12" s="161" t="s">
        <v>23</v>
      </c>
      <c r="E12" s="162">
        <v>2004</v>
      </c>
      <c r="F12" s="162">
        <v>114</v>
      </c>
      <c r="G12" s="162">
        <v>114002</v>
      </c>
      <c r="H12" s="162" t="s">
        <v>24</v>
      </c>
      <c r="I12" s="162" t="s">
        <v>24</v>
      </c>
      <c r="J12" s="161" t="s">
        <v>25</v>
      </c>
      <c r="K12" s="161" t="s">
        <v>46</v>
      </c>
      <c r="L12" s="161">
        <v>72</v>
      </c>
      <c r="M12" s="163">
        <v>69.2</v>
      </c>
      <c r="N12" s="226">
        <f>ROUND(SUMIF(PhasesTable[CIP '#],ProjectsTable[[#This Row],[CIP '#]],PhasesTable[Lifetime Actual Thru FY 2016 (Unaudited)]),0)</f>
        <v>0</v>
      </c>
      <c r="O12" s="227">
        <f>ROUND(SUMIF(PhasesTable[CIP '#],ProjectsTable[[#This Row],[CIP '#]],PhasesTable[Projected Expenditures FY 2017]),0)</f>
        <v>0</v>
      </c>
      <c r="P12" s="228">
        <f>ROUND(SUMIF(PhasesTable[CIP '#],ProjectsTable[[#This Row],[CIP '#]],PhasesTable[Projected Expenditures FY 2018]),0)</f>
        <v>1500</v>
      </c>
      <c r="Q12" s="229">
        <f>ROUND(SUMIF(PhasesTable[CIP '#],ProjectsTable[[#This Row],[CIP '#]],PhasesTable[Projected Expenditures FY 2019]),0)</f>
        <v>2000</v>
      </c>
      <c r="R12" s="229">
        <f>ROUND(SUMIF(PhasesTable[CIP '#],ProjectsTable[[#This Row],[CIP '#]],PhasesTable[Projected Expenditures FY 2020]),0)</f>
        <v>12500</v>
      </c>
      <c r="S12" s="229">
        <f>ROUND(SUMIF(PhasesTable[CIP '#],ProjectsTable[[#This Row],[CIP '#]],PhasesTable[Projected Expenditures FY 2021]),0)</f>
        <v>22000</v>
      </c>
      <c r="T12" s="230">
        <f>ROUND(SUMIF(PhasesTable[CIP '#],ProjectsTable[[#This Row],[CIP '#]],PhasesTable[Projected Expenditures FY 2022]),0)</f>
        <v>21500</v>
      </c>
      <c r="U12" s="227">
        <f>ROUND(SUMIF(PhasesTable[CIP '#],ProjectsTable[[#This Row],[CIP '#]],PhasesTable[Projected Expenditures FY 2023 &amp; Beyond]),0)</f>
        <v>26500</v>
      </c>
      <c r="V12" s="231">
        <f>ROUND(SUMIF(PhasesTable[CIP '#],ProjectsTable[[#This Row],[CIP '#]],PhasesTable[2018-2022 CIP Total]),0)</f>
        <v>59500</v>
      </c>
      <c r="W12" s="232">
        <f>ROUND(SUMIF(PhasesTable[CIP '#],ProjectsTable[[#This Row],[CIP '#]],PhasesTable[Project Total]),0)</f>
        <v>86000</v>
      </c>
      <c r="X12" s="164" t="s">
        <v>28</v>
      </c>
    </row>
    <row r="13" spans="1:24" s="50" customFormat="1" ht="42.75" x14ac:dyDescent="0.45">
      <c r="A13" s="20">
        <v>78</v>
      </c>
      <c r="B13" s="165">
        <v>1100</v>
      </c>
      <c r="C13" s="166" t="s">
        <v>132</v>
      </c>
      <c r="D13" s="23" t="s">
        <v>23</v>
      </c>
      <c r="E13" s="55">
        <v>2005</v>
      </c>
      <c r="F13" s="55">
        <v>212</v>
      </c>
      <c r="G13" s="55">
        <v>212001</v>
      </c>
      <c r="H13" s="55" t="s">
        <v>119</v>
      </c>
      <c r="I13" s="55" t="s">
        <v>119</v>
      </c>
      <c r="J13" s="55" t="s">
        <v>72</v>
      </c>
      <c r="K13" s="55" t="s">
        <v>133</v>
      </c>
      <c r="L13" s="167" t="s">
        <v>27</v>
      </c>
      <c r="M13" s="168" t="s">
        <v>27</v>
      </c>
      <c r="N13" s="117">
        <f>ROUND(SUMIF(PhasesTable[CIP '#],ProjectsTable[[#This Row],[CIP '#]],PhasesTable[Lifetime Actual Thru FY 2016 (Unaudited)]),0)</f>
        <v>24060</v>
      </c>
      <c r="O13" s="117">
        <f>ROUND(SUMIF(PhasesTable[CIP '#],ProjectsTable[[#This Row],[CIP '#]],PhasesTable[Projected Expenditures FY 2017]),0)</f>
        <v>115</v>
      </c>
      <c r="P13" s="118">
        <f>ROUND(SUMIF(PhasesTable[CIP '#],ProjectsTable[[#This Row],[CIP '#]],PhasesTable[Projected Expenditures FY 2018]),0)</f>
        <v>0</v>
      </c>
      <c r="Q13" s="119">
        <f>ROUND(SUMIF(PhasesTable[CIP '#],ProjectsTable[[#This Row],[CIP '#]],PhasesTable[Projected Expenditures FY 2019]),0)</f>
        <v>0</v>
      </c>
      <c r="R13" s="119">
        <f>ROUND(SUMIF(PhasesTable[CIP '#],ProjectsTable[[#This Row],[CIP '#]],PhasesTable[Projected Expenditures FY 2020]),0)</f>
        <v>0</v>
      </c>
      <c r="S13" s="119">
        <f>ROUND(SUMIF(PhasesTable[CIP '#],ProjectsTable[[#This Row],[CIP '#]],PhasesTable[Projected Expenditures FY 2021]),0)</f>
        <v>0</v>
      </c>
      <c r="T13" s="120">
        <f>ROUND(SUMIF(PhasesTable[CIP '#],ProjectsTable[[#This Row],[CIP '#]],PhasesTable[Projected Expenditures FY 2022]),0)</f>
        <v>0</v>
      </c>
      <c r="U13" s="117">
        <f>ROUND(SUMIF(PhasesTable[CIP '#],ProjectsTable[[#This Row],[CIP '#]],PhasesTable[Projected Expenditures FY 2023 &amp; Beyond]),0)</f>
        <v>0</v>
      </c>
      <c r="V13" s="121">
        <f>ROUND(SUMIF(PhasesTable[CIP '#],ProjectsTable[[#This Row],[CIP '#]],PhasesTable[2018-2022 CIP Total]),0)</f>
        <v>0</v>
      </c>
      <c r="W13" s="122">
        <f>ROUND(SUMIF(PhasesTable[CIP '#],ProjectsTable[[#This Row],[CIP '#]],PhasesTable[Project Total]),0)</f>
        <v>24175</v>
      </c>
      <c r="X13" s="169" t="s">
        <v>134</v>
      </c>
    </row>
    <row r="14" spans="1:24" s="50" customFormat="1" ht="28.5" x14ac:dyDescent="0.45">
      <c r="A14" s="158">
        <v>34</v>
      </c>
      <c r="B14" s="159">
        <v>1112</v>
      </c>
      <c r="C14" s="160" t="s">
        <v>73</v>
      </c>
      <c r="D14" s="161" t="s">
        <v>23</v>
      </c>
      <c r="E14" s="162">
        <v>2005</v>
      </c>
      <c r="F14" s="162">
        <v>122</v>
      </c>
      <c r="G14" s="162">
        <v>122001</v>
      </c>
      <c r="H14" s="162" t="s">
        <v>24</v>
      </c>
      <c r="I14" s="162" t="s">
        <v>24</v>
      </c>
      <c r="J14" s="161" t="s">
        <v>74</v>
      </c>
      <c r="K14" s="161" t="s">
        <v>75</v>
      </c>
      <c r="L14" s="161" t="s">
        <v>27</v>
      </c>
      <c r="M14" s="163" t="s">
        <v>27</v>
      </c>
      <c r="N14" s="226">
        <f>ROUND(SUMIF(PhasesTable[CIP '#],ProjectsTable[[#This Row],[CIP '#]],PhasesTable[Lifetime Actual Thru FY 2016 (Unaudited)]),0)</f>
        <v>26926</v>
      </c>
      <c r="O14" s="227">
        <f>ROUND(SUMIF(PhasesTable[CIP '#],ProjectsTable[[#This Row],[CIP '#]],PhasesTable[Projected Expenditures FY 2017]),0)</f>
        <v>2367</v>
      </c>
      <c r="P14" s="228">
        <f>ROUND(SUMIF(PhasesTable[CIP '#],ProjectsTable[[#This Row],[CIP '#]],PhasesTable[Projected Expenditures FY 2018]),0)</f>
        <v>715</v>
      </c>
      <c r="Q14" s="229">
        <f>ROUND(SUMIF(PhasesTable[CIP '#],ProjectsTable[[#This Row],[CIP '#]],PhasesTable[Projected Expenditures FY 2019]),0)</f>
        <v>0</v>
      </c>
      <c r="R14" s="229">
        <f>ROUND(SUMIF(PhasesTable[CIP '#],ProjectsTable[[#This Row],[CIP '#]],PhasesTable[Projected Expenditures FY 2020]),0)</f>
        <v>0</v>
      </c>
      <c r="S14" s="229">
        <f>ROUND(SUMIF(PhasesTable[CIP '#],ProjectsTable[[#This Row],[CIP '#]],PhasesTable[Projected Expenditures FY 2021]),0)</f>
        <v>0</v>
      </c>
      <c r="T14" s="230">
        <f>ROUND(SUMIF(PhasesTable[CIP '#],ProjectsTable[[#This Row],[CIP '#]],PhasesTable[Projected Expenditures FY 2022]),0)</f>
        <v>0</v>
      </c>
      <c r="U14" s="227">
        <f>ROUND(SUMIF(PhasesTable[CIP '#],ProjectsTable[[#This Row],[CIP '#]],PhasesTable[Projected Expenditures FY 2023 &amp; Beyond]),0)</f>
        <v>0</v>
      </c>
      <c r="V14" s="231">
        <f>ROUND(SUMIF(PhasesTable[CIP '#],ProjectsTable[[#This Row],[CIP '#]],PhasesTable[2018-2022 CIP Total]),0)</f>
        <v>715</v>
      </c>
      <c r="W14" s="232">
        <f>ROUND(SUMIF(PhasesTable[CIP '#],ProjectsTable[[#This Row],[CIP '#]],PhasesTable[Project Total]),0)</f>
        <v>30008</v>
      </c>
      <c r="X14" s="164" t="s">
        <v>76</v>
      </c>
    </row>
    <row r="15" spans="1:24" s="44" customFormat="1" ht="42.75" x14ac:dyDescent="0.45">
      <c r="A15" s="20">
        <v>81</v>
      </c>
      <c r="B15" s="165">
        <v>1117</v>
      </c>
      <c r="C15" s="166" t="s">
        <v>294</v>
      </c>
      <c r="D15" s="23" t="s">
        <v>23</v>
      </c>
      <c r="E15" s="55">
        <v>2006</v>
      </c>
      <c r="F15" s="55">
        <v>212</v>
      </c>
      <c r="G15" s="55">
        <v>212002</v>
      </c>
      <c r="H15" s="55" t="s">
        <v>119</v>
      </c>
      <c r="I15" s="55" t="s">
        <v>119</v>
      </c>
      <c r="J15" s="55" t="s">
        <v>72</v>
      </c>
      <c r="K15" s="55" t="s">
        <v>133</v>
      </c>
      <c r="L15" s="167" t="s">
        <v>27</v>
      </c>
      <c r="M15" s="168" t="s">
        <v>27</v>
      </c>
      <c r="N15" s="117">
        <f>ROUND(SUMIF(PhasesTable[CIP '#],ProjectsTable[[#This Row],[CIP '#]],PhasesTable[Lifetime Actual Thru FY 2016 (Unaudited)]),0)</f>
        <v>8449</v>
      </c>
      <c r="O15" s="117">
        <f>ROUND(SUMIF(PhasesTable[CIP '#],ProjectsTable[[#This Row],[CIP '#]],PhasesTable[Projected Expenditures FY 2017]),0)</f>
        <v>33</v>
      </c>
      <c r="P15" s="118">
        <f>ROUND(SUMIF(PhasesTable[CIP '#],ProjectsTable[[#This Row],[CIP '#]],PhasesTable[Projected Expenditures FY 2018]),0)</f>
        <v>0</v>
      </c>
      <c r="Q15" s="119">
        <f>ROUND(SUMIF(PhasesTable[CIP '#],ProjectsTable[[#This Row],[CIP '#]],PhasesTable[Projected Expenditures FY 2019]),0)</f>
        <v>0</v>
      </c>
      <c r="R15" s="119">
        <f>ROUND(SUMIF(PhasesTable[CIP '#],ProjectsTable[[#This Row],[CIP '#]],PhasesTable[Projected Expenditures FY 2020]),0)</f>
        <v>0</v>
      </c>
      <c r="S15" s="119">
        <f>ROUND(SUMIF(PhasesTable[CIP '#],ProjectsTable[[#This Row],[CIP '#]],PhasesTable[Projected Expenditures FY 2021]),0)</f>
        <v>0</v>
      </c>
      <c r="T15" s="120">
        <f>ROUND(SUMIF(PhasesTable[CIP '#],ProjectsTable[[#This Row],[CIP '#]],PhasesTable[Projected Expenditures FY 2022]),0)</f>
        <v>0</v>
      </c>
      <c r="U15" s="117">
        <f>ROUND(SUMIF(PhasesTable[CIP '#],ProjectsTable[[#This Row],[CIP '#]],PhasesTable[Projected Expenditures FY 2023 &amp; Beyond]),0)</f>
        <v>0</v>
      </c>
      <c r="V15" s="121">
        <f>ROUND(SUMIF(PhasesTable[CIP '#],ProjectsTable[[#This Row],[CIP '#]],PhasesTable[2018-2022 CIP Total]),0)</f>
        <v>0</v>
      </c>
      <c r="W15" s="122">
        <f>ROUND(SUMIF(PhasesTable[CIP '#],ProjectsTable[[#This Row],[CIP '#]],PhasesTable[Project Total]),0)</f>
        <v>8482</v>
      </c>
      <c r="X15" s="169" t="s">
        <v>123</v>
      </c>
    </row>
    <row r="16" spans="1:24" s="67" customFormat="1" ht="42.75" x14ac:dyDescent="0.45">
      <c r="A16" s="20">
        <v>98</v>
      </c>
      <c r="B16" s="165">
        <v>1140</v>
      </c>
      <c r="C16" s="177" t="s">
        <v>301</v>
      </c>
      <c r="D16" s="55" t="s">
        <v>23</v>
      </c>
      <c r="E16" s="55">
        <v>2006</v>
      </c>
      <c r="F16" s="55">
        <v>216</v>
      </c>
      <c r="G16" s="55">
        <v>216003</v>
      </c>
      <c r="H16" s="55" t="s">
        <v>119</v>
      </c>
      <c r="I16" s="55" t="s">
        <v>119</v>
      </c>
      <c r="J16" s="55" t="s">
        <v>72</v>
      </c>
      <c r="K16" s="55" t="s">
        <v>67</v>
      </c>
      <c r="L16" s="55" t="s">
        <v>27</v>
      </c>
      <c r="M16" s="55">
        <v>55.600000000000016</v>
      </c>
      <c r="N16" s="117">
        <f>ROUND(SUMIF(PhasesTable[CIP '#],ProjectsTable[[#This Row],[CIP '#]],PhasesTable[Lifetime Actual Thru FY 2016 (Unaudited)]),0)</f>
        <v>0</v>
      </c>
      <c r="O16" s="117">
        <f>ROUND(SUMIF(PhasesTable[CIP '#],ProjectsTable[[#This Row],[CIP '#]],PhasesTable[Projected Expenditures FY 2017]),0)</f>
        <v>50</v>
      </c>
      <c r="P16" s="118">
        <f>ROUND(SUMIF(PhasesTable[CIP '#],ProjectsTable[[#This Row],[CIP '#]],PhasesTable[Projected Expenditures FY 2018]),0)</f>
        <v>690</v>
      </c>
      <c r="Q16" s="119">
        <f>ROUND(SUMIF(PhasesTable[CIP '#],ProjectsTable[[#This Row],[CIP '#]],PhasesTable[Projected Expenditures FY 2019]),0)</f>
        <v>1900</v>
      </c>
      <c r="R16" s="119">
        <f>ROUND(SUMIF(PhasesTable[CIP '#],ProjectsTable[[#This Row],[CIP '#]],PhasesTable[Projected Expenditures FY 2020]),0)</f>
        <v>1150</v>
      </c>
      <c r="S16" s="119">
        <f>ROUND(SUMIF(PhasesTable[CIP '#],ProjectsTable[[#This Row],[CIP '#]],PhasesTable[Projected Expenditures FY 2021]),0)</f>
        <v>1210</v>
      </c>
      <c r="T16" s="120">
        <f>ROUND(SUMIF(PhasesTable[CIP '#],ProjectsTable[[#This Row],[CIP '#]],PhasesTable[Projected Expenditures FY 2022]),0)</f>
        <v>0</v>
      </c>
      <c r="U16" s="117">
        <f>ROUND(SUMIF(PhasesTable[CIP '#],ProjectsTable[[#This Row],[CIP '#]],PhasesTable[Projected Expenditures FY 2023 &amp; Beyond]),0)</f>
        <v>0</v>
      </c>
      <c r="V16" s="121">
        <f>ROUND(SUMIF(PhasesTable[CIP '#],ProjectsTable[[#This Row],[CIP '#]],PhasesTable[2018-2022 CIP Total]),0)</f>
        <v>4950</v>
      </c>
      <c r="W16" s="122">
        <f>ROUND(SUMIF(PhasesTable[CIP '#],ProjectsTable[[#This Row],[CIP '#]],PhasesTable[Project Total]),0)</f>
        <v>5000</v>
      </c>
      <c r="X16" s="55" t="s">
        <v>137</v>
      </c>
    </row>
    <row r="17" spans="1:24" s="19" customFormat="1" ht="28.5" x14ac:dyDescent="0.45">
      <c r="A17" s="20">
        <v>71</v>
      </c>
      <c r="B17" s="165">
        <v>1141</v>
      </c>
      <c r="C17" s="166" t="s">
        <v>124</v>
      </c>
      <c r="D17" s="23" t="s">
        <v>23</v>
      </c>
      <c r="E17" s="55">
        <v>2006</v>
      </c>
      <c r="F17" s="55">
        <v>211</v>
      </c>
      <c r="G17" s="55">
        <v>211003</v>
      </c>
      <c r="H17" s="55" t="s">
        <v>119</v>
      </c>
      <c r="I17" s="55" t="s">
        <v>119</v>
      </c>
      <c r="J17" s="55" t="s">
        <v>72</v>
      </c>
      <c r="K17" s="55" t="s">
        <v>120</v>
      </c>
      <c r="L17" s="167" t="s">
        <v>27</v>
      </c>
      <c r="M17" s="168" t="s">
        <v>27</v>
      </c>
      <c r="N17" s="117">
        <f>ROUND(SUMIF(PhasesTable[CIP '#],ProjectsTable[[#This Row],[CIP '#]],PhasesTable[Lifetime Actual Thru FY 2016 (Unaudited)]),0)</f>
        <v>1</v>
      </c>
      <c r="O17" s="117">
        <f>ROUND(SUMIF(PhasesTable[CIP '#],ProjectsTable[[#This Row],[CIP '#]],PhasesTable[Projected Expenditures FY 2017]),0)</f>
        <v>220</v>
      </c>
      <c r="P17" s="118">
        <f>ROUND(SUMIF(PhasesTable[CIP '#],ProjectsTable[[#This Row],[CIP '#]],PhasesTable[Projected Expenditures FY 2018]),0)</f>
        <v>240</v>
      </c>
      <c r="Q17" s="119">
        <f>ROUND(SUMIF(PhasesTable[CIP '#],ProjectsTable[[#This Row],[CIP '#]],PhasesTable[Projected Expenditures FY 2019]),0)</f>
        <v>120</v>
      </c>
      <c r="R17" s="119">
        <f>ROUND(SUMIF(PhasesTable[CIP '#],ProjectsTable[[#This Row],[CIP '#]],PhasesTable[Projected Expenditures FY 2020]),0)</f>
        <v>0</v>
      </c>
      <c r="S17" s="119">
        <f>ROUND(SUMIF(PhasesTable[CIP '#],ProjectsTable[[#This Row],[CIP '#]],PhasesTable[Projected Expenditures FY 2021]),0)</f>
        <v>0</v>
      </c>
      <c r="T17" s="120">
        <f>ROUND(SUMIF(PhasesTable[CIP '#],ProjectsTable[[#This Row],[CIP '#]],PhasesTable[Projected Expenditures FY 2022]),0)</f>
        <v>0</v>
      </c>
      <c r="U17" s="117">
        <f>ROUND(SUMIF(PhasesTable[CIP '#],ProjectsTable[[#This Row],[CIP '#]],PhasesTable[Projected Expenditures FY 2023 &amp; Beyond]),0)</f>
        <v>0</v>
      </c>
      <c r="V17" s="121">
        <f>ROUND(SUMIF(PhasesTable[CIP '#],ProjectsTable[[#This Row],[CIP '#]],PhasesTable[2018-2022 CIP Total]),0)</f>
        <v>360</v>
      </c>
      <c r="W17" s="122">
        <f>ROUND(SUMIF(PhasesTable[CIP '#],ProjectsTable[[#This Row],[CIP '#]],PhasesTable[Project Total]),0)</f>
        <v>581</v>
      </c>
      <c r="X17" s="169" t="s">
        <v>125</v>
      </c>
    </row>
    <row r="18" spans="1:24" s="50" customFormat="1" ht="57" x14ac:dyDescent="0.45">
      <c r="A18" s="20">
        <v>86</v>
      </c>
      <c r="B18" s="165">
        <v>1144</v>
      </c>
      <c r="C18" s="178" t="s">
        <v>141</v>
      </c>
      <c r="D18" s="55" t="s">
        <v>23</v>
      </c>
      <c r="E18" s="55">
        <v>2006</v>
      </c>
      <c r="F18" s="55">
        <v>213</v>
      </c>
      <c r="G18" s="55">
        <v>213001</v>
      </c>
      <c r="H18" s="55" t="s">
        <v>119</v>
      </c>
      <c r="I18" s="55" t="s">
        <v>119</v>
      </c>
      <c r="J18" s="55" t="s">
        <v>72</v>
      </c>
      <c r="K18" s="55" t="s">
        <v>140</v>
      </c>
      <c r="L18" s="55" t="s">
        <v>27</v>
      </c>
      <c r="M18" s="55" t="s">
        <v>27</v>
      </c>
      <c r="N18" s="117">
        <f>ROUND(SUMIF(PhasesTable[CIP '#],ProjectsTable[[#This Row],[CIP '#]],PhasesTable[Lifetime Actual Thru FY 2016 (Unaudited)]),0)</f>
        <v>29</v>
      </c>
      <c r="O18" s="117">
        <f>ROUND(SUMIF(PhasesTable[CIP '#],ProjectsTable[[#This Row],[CIP '#]],PhasesTable[Projected Expenditures FY 2017]),0)</f>
        <v>1872</v>
      </c>
      <c r="P18" s="118">
        <f>ROUND(SUMIF(PhasesTable[CIP '#],ProjectsTable[[#This Row],[CIP '#]],PhasesTable[Projected Expenditures FY 2018]),0)</f>
        <v>0</v>
      </c>
      <c r="Q18" s="119">
        <f>ROUND(SUMIF(PhasesTable[CIP '#],ProjectsTable[[#This Row],[CIP '#]],PhasesTable[Projected Expenditures FY 2019]),0)</f>
        <v>0</v>
      </c>
      <c r="R18" s="119">
        <f>ROUND(SUMIF(PhasesTable[CIP '#],ProjectsTable[[#This Row],[CIP '#]],PhasesTable[Projected Expenditures FY 2020]),0)</f>
        <v>0</v>
      </c>
      <c r="S18" s="119">
        <f>ROUND(SUMIF(PhasesTable[CIP '#],ProjectsTable[[#This Row],[CIP '#]],PhasesTable[Projected Expenditures FY 2021]),0)</f>
        <v>0</v>
      </c>
      <c r="T18" s="120">
        <f>ROUND(SUMIF(PhasesTable[CIP '#],ProjectsTable[[#This Row],[CIP '#]],PhasesTable[Projected Expenditures FY 2022]),0)</f>
        <v>0</v>
      </c>
      <c r="U18" s="117">
        <f>ROUND(SUMIF(PhasesTable[CIP '#],ProjectsTable[[#This Row],[CIP '#]],PhasesTable[Projected Expenditures FY 2023 &amp; Beyond]),0)</f>
        <v>0</v>
      </c>
      <c r="V18" s="121">
        <f>ROUND(SUMIF(PhasesTable[CIP '#],ProjectsTable[[#This Row],[CIP '#]],PhasesTable[2018-2022 CIP Total]),0)</f>
        <v>0</v>
      </c>
      <c r="W18" s="122">
        <f>ROUND(SUMIF(PhasesTable[CIP '#],ProjectsTable[[#This Row],[CIP '#]],PhasesTable[Project Total]),0)</f>
        <v>1901</v>
      </c>
      <c r="X18" s="169" t="s">
        <v>142</v>
      </c>
    </row>
    <row r="19" spans="1:24" s="67" customFormat="1" ht="42.75" x14ac:dyDescent="0.45">
      <c r="A19" s="158">
        <v>128</v>
      </c>
      <c r="B19" s="159">
        <v>1147</v>
      </c>
      <c r="C19" s="179" t="s">
        <v>189</v>
      </c>
      <c r="D19" s="13" t="s">
        <v>116</v>
      </c>
      <c r="E19" s="12">
        <v>2006</v>
      </c>
      <c r="F19" s="12">
        <v>3807</v>
      </c>
      <c r="G19" s="12">
        <v>380700</v>
      </c>
      <c r="H19" s="12" t="s">
        <v>24</v>
      </c>
      <c r="I19" s="12" t="s">
        <v>24</v>
      </c>
      <c r="J19" s="13" t="s">
        <v>323</v>
      </c>
      <c r="K19" s="13" t="s">
        <v>323</v>
      </c>
      <c r="L19" s="13" t="s">
        <v>27</v>
      </c>
      <c r="M19" s="163" t="s">
        <v>27</v>
      </c>
      <c r="N19" s="110">
        <f>ROUND(SUMIF(PhasesTable[CIP '#],ProjectsTable[[#This Row],[CIP '#]],PhasesTable[Lifetime Actual Thru FY 2016 (Unaudited)]),0)</f>
        <v>0</v>
      </c>
      <c r="O19" s="111">
        <f>ROUND(SUMIF(PhasesTable[CIP '#],ProjectsTable[[#This Row],[CIP '#]],PhasesTable[Projected Expenditures FY 2017]),0)</f>
        <v>650</v>
      </c>
      <c r="P19" s="112">
        <f>ROUND(SUMIF(PhasesTable[CIP '#],ProjectsTable[[#This Row],[CIP '#]],PhasesTable[Projected Expenditures FY 2018]),0)</f>
        <v>907</v>
      </c>
      <c r="Q19" s="113">
        <f>ROUND(SUMIF(PhasesTable[CIP '#],ProjectsTable[[#This Row],[CIP '#]],PhasesTable[Projected Expenditures FY 2019]),0)</f>
        <v>333</v>
      </c>
      <c r="R19" s="113">
        <f>ROUND(SUMIF(PhasesTable[CIP '#],ProjectsTable[[#This Row],[CIP '#]],PhasesTable[Projected Expenditures FY 2020]),0)</f>
        <v>333</v>
      </c>
      <c r="S19" s="113">
        <f>ROUND(SUMIF(PhasesTable[CIP '#],ProjectsTable[[#This Row],[CIP '#]],PhasesTable[Projected Expenditures FY 2021]),0)</f>
        <v>333</v>
      </c>
      <c r="T19" s="114">
        <f>ROUND(SUMIF(PhasesTable[CIP '#],ProjectsTable[[#This Row],[CIP '#]],PhasesTable[Projected Expenditures FY 2022]),0)</f>
        <v>0</v>
      </c>
      <c r="U19" s="111">
        <f>ROUND(SUMIF(PhasesTable[CIP '#],ProjectsTable[[#This Row],[CIP '#]],PhasesTable[Projected Expenditures FY 2023 &amp; Beyond]),0)</f>
        <v>0</v>
      </c>
      <c r="V19" s="115">
        <f>ROUND(SUMIF(PhasesTable[CIP '#],ProjectsTable[[#This Row],[CIP '#]],PhasesTable[2018-2022 CIP Total]),0)</f>
        <v>1906</v>
      </c>
      <c r="W19" s="116">
        <f>ROUND(SUMIF(PhasesTable[CIP '#],ProjectsTable[[#This Row],[CIP '#]],PhasesTable[Project Total]),0)</f>
        <v>2556</v>
      </c>
      <c r="X19" s="180" t="s">
        <v>76</v>
      </c>
    </row>
    <row r="20" spans="1:24" s="50" customFormat="1" ht="28.5" x14ac:dyDescent="0.45">
      <c r="A20" s="172">
        <v>129</v>
      </c>
      <c r="B20" s="173">
        <v>1153</v>
      </c>
      <c r="C20" s="174" t="s">
        <v>190</v>
      </c>
      <c r="D20" s="175" t="s">
        <v>23</v>
      </c>
      <c r="E20" s="175">
        <v>2006</v>
      </c>
      <c r="F20" s="175">
        <v>361</v>
      </c>
      <c r="G20" s="175">
        <v>361001</v>
      </c>
      <c r="H20" s="175" t="s">
        <v>292</v>
      </c>
      <c r="I20" s="175" t="s">
        <v>280</v>
      </c>
      <c r="J20" s="175" t="s">
        <v>185</v>
      </c>
      <c r="K20" s="175" t="s">
        <v>67</v>
      </c>
      <c r="L20" s="175" t="s">
        <v>27</v>
      </c>
      <c r="M20" s="175" t="s">
        <v>27</v>
      </c>
      <c r="N20" s="233">
        <f>ROUND(SUMIF(PhasesTable[CIP '#],ProjectsTable[[#This Row],[CIP '#]],PhasesTable[Lifetime Actual Thru FY 2016 (Unaudited)]),0)</f>
        <v>3928</v>
      </c>
      <c r="O20" s="233">
        <f>ROUND(SUMIF(PhasesTable[CIP '#],ProjectsTable[[#This Row],[CIP '#]],PhasesTable[Projected Expenditures FY 2017]),0)</f>
        <v>640</v>
      </c>
      <c r="P20" s="234">
        <f>ROUND(SUMIF(PhasesTable[CIP '#],ProjectsTable[[#This Row],[CIP '#]],PhasesTable[Projected Expenditures FY 2018]),0)</f>
        <v>0</v>
      </c>
      <c r="Q20" s="235">
        <f>ROUND(SUMIF(PhasesTable[CIP '#],ProjectsTable[[#This Row],[CIP '#]],PhasesTable[Projected Expenditures FY 2019]),0)</f>
        <v>0</v>
      </c>
      <c r="R20" s="235">
        <f>ROUND(SUMIF(PhasesTable[CIP '#],ProjectsTable[[#This Row],[CIP '#]],PhasesTable[Projected Expenditures FY 2020]),0)</f>
        <v>0</v>
      </c>
      <c r="S20" s="235">
        <f>ROUND(SUMIF(PhasesTable[CIP '#],ProjectsTable[[#This Row],[CIP '#]],PhasesTable[Projected Expenditures FY 2021]),0)</f>
        <v>0</v>
      </c>
      <c r="T20" s="236">
        <f>ROUND(SUMIF(PhasesTable[CIP '#],ProjectsTable[[#This Row],[CIP '#]],PhasesTable[Projected Expenditures FY 2022]),0)</f>
        <v>0</v>
      </c>
      <c r="U20" s="233">
        <f>ROUND(SUMIF(PhasesTable[CIP '#],ProjectsTable[[#This Row],[CIP '#]],PhasesTable[Projected Expenditures FY 2023 &amp; Beyond]),0)</f>
        <v>0</v>
      </c>
      <c r="V20" s="237">
        <f>ROUND(SUMIF(PhasesTable[CIP '#],ProjectsTable[[#This Row],[CIP '#]],PhasesTable[2018-2022 CIP Total]),0)</f>
        <v>0</v>
      </c>
      <c r="W20" s="238">
        <f>ROUND(SUMIF(PhasesTable[CIP '#],ProjectsTable[[#This Row],[CIP '#]],PhasesTable[Project Total]),0)</f>
        <v>4568</v>
      </c>
      <c r="X20" s="175" t="s">
        <v>79</v>
      </c>
    </row>
    <row r="21" spans="1:24" s="50" customFormat="1" ht="28.5" x14ac:dyDescent="0.45">
      <c r="A21" s="172">
        <v>130</v>
      </c>
      <c r="B21" s="173">
        <v>1164</v>
      </c>
      <c r="C21" s="174" t="s">
        <v>191</v>
      </c>
      <c r="D21" s="175" t="s">
        <v>116</v>
      </c>
      <c r="E21" s="175">
        <v>2007</v>
      </c>
      <c r="F21" s="175">
        <v>3808</v>
      </c>
      <c r="G21" s="175">
        <v>380800</v>
      </c>
      <c r="H21" s="175" t="s">
        <v>292</v>
      </c>
      <c r="I21" s="175" t="s">
        <v>280</v>
      </c>
      <c r="J21" s="175" t="s">
        <v>323</v>
      </c>
      <c r="K21" s="175" t="s">
        <v>323</v>
      </c>
      <c r="L21" s="175" t="s">
        <v>27</v>
      </c>
      <c r="M21" s="175" t="s">
        <v>27</v>
      </c>
      <c r="N21" s="233">
        <f>ROUND(SUMIF(PhasesTable[CIP '#],ProjectsTable[[#This Row],[CIP '#]],PhasesTable[Lifetime Actual Thru FY 2016 (Unaudited)]),0)</f>
        <v>2441</v>
      </c>
      <c r="O21" s="233">
        <f>ROUND(SUMIF(PhasesTable[CIP '#],ProjectsTable[[#This Row],[CIP '#]],PhasesTable[Projected Expenditures FY 2017]),0)</f>
        <v>132</v>
      </c>
      <c r="P21" s="234">
        <f>ROUND(SUMIF(PhasesTable[CIP '#],ProjectsTable[[#This Row],[CIP '#]],PhasesTable[Projected Expenditures FY 2018]),0)</f>
        <v>0</v>
      </c>
      <c r="Q21" s="235">
        <f>ROUND(SUMIF(PhasesTable[CIP '#],ProjectsTable[[#This Row],[CIP '#]],PhasesTable[Projected Expenditures FY 2019]),0)</f>
        <v>0</v>
      </c>
      <c r="R21" s="235">
        <f>ROUND(SUMIF(PhasesTable[CIP '#],ProjectsTable[[#This Row],[CIP '#]],PhasesTable[Projected Expenditures FY 2020]),0)</f>
        <v>0</v>
      </c>
      <c r="S21" s="235">
        <f>ROUND(SUMIF(PhasesTable[CIP '#],ProjectsTable[[#This Row],[CIP '#]],PhasesTable[Projected Expenditures FY 2021]),0)</f>
        <v>0</v>
      </c>
      <c r="T21" s="236">
        <f>ROUND(SUMIF(PhasesTable[CIP '#],ProjectsTable[[#This Row],[CIP '#]],PhasesTable[Projected Expenditures FY 2022]),0)</f>
        <v>0</v>
      </c>
      <c r="U21" s="233">
        <f>ROUND(SUMIF(PhasesTable[CIP '#],ProjectsTable[[#This Row],[CIP '#]],PhasesTable[Projected Expenditures FY 2023 &amp; Beyond]),0)</f>
        <v>0</v>
      </c>
      <c r="V21" s="237">
        <f>ROUND(SUMIF(PhasesTable[CIP '#],ProjectsTable[[#This Row],[CIP '#]],PhasesTable[2018-2022 CIP Total]),0)</f>
        <v>0</v>
      </c>
      <c r="W21" s="238">
        <f>ROUND(SUMIF(PhasesTable[CIP '#],ProjectsTable[[#This Row],[CIP '#]],PhasesTable[Project Total]),0)</f>
        <v>2573</v>
      </c>
      <c r="X21" s="176" t="s">
        <v>125</v>
      </c>
    </row>
    <row r="22" spans="1:24" s="67" customFormat="1" ht="42.75" x14ac:dyDescent="0.45">
      <c r="A22" s="158">
        <v>27</v>
      </c>
      <c r="B22" s="159">
        <v>1166</v>
      </c>
      <c r="C22" s="179" t="s">
        <v>62</v>
      </c>
      <c r="D22" s="13" t="s">
        <v>23</v>
      </c>
      <c r="E22" s="12">
        <v>2007</v>
      </c>
      <c r="F22" s="12">
        <v>115</v>
      </c>
      <c r="G22" s="12">
        <v>115001</v>
      </c>
      <c r="H22" s="12" t="s">
        <v>24</v>
      </c>
      <c r="I22" s="12" t="s">
        <v>24</v>
      </c>
      <c r="J22" s="13" t="s">
        <v>25</v>
      </c>
      <c r="K22" s="13" t="s">
        <v>63</v>
      </c>
      <c r="L22" s="13">
        <v>58.6</v>
      </c>
      <c r="M22" s="163">
        <v>65.400000000000006</v>
      </c>
      <c r="N22" s="110">
        <f>ROUND(SUMIF(PhasesTable[CIP '#],ProjectsTable[[#This Row],[CIP '#]],PhasesTable[Lifetime Actual Thru FY 2016 (Unaudited)]),0)</f>
        <v>0</v>
      </c>
      <c r="O22" s="111">
        <f>ROUND(SUMIF(PhasesTable[CIP '#],ProjectsTable[[#This Row],[CIP '#]],PhasesTable[Projected Expenditures FY 2017]),0)</f>
        <v>0</v>
      </c>
      <c r="P22" s="112">
        <f>ROUND(SUMIF(PhasesTable[CIP '#],ProjectsTable[[#This Row],[CIP '#]],PhasesTable[Projected Expenditures FY 2018]),0)</f>
        <v>5500</v>
      </c>
      <c r="Q22" s="113">
        <f>ROUND(SUMIF(PhasesTable[CIP '#],ProjectsTable[[#This Row],[CIP '#]],PhasesTable[Projected Expenditures FY 2019]),0)</f>
        <v>27900</v>
      </c>
      <c r="R22" s="113">
        <f>ROUND(SUMIF(PhasesTable[CIP '#],ProjectsTable[[#This Row],[CIP '#]],PhasesTable[Projected Expenditures FY 2020]),0)</f>
        <v>20500</v>
      </c>
      <c r="S22" s="113">
        <f>ROUND(SUMIF(PhasesTable[CIP '#],ProjectsTable[[#This Row],[CIP '#]],PhasesTable[Projected Expenditures FY 2021]),0)</f>
        <v>0</v>
      </c>
      <c r="T22" s="114">
        <f>ROUND(SUMIF(PhasesTable[CIP '#],ProjectsTable[[#This Row],[CIP '#]],PhasesTable[Projected Expenditures FY 2022]),0)</f>
        <v>0</v>
      </c>
      <c r="U22" s="111">
        <f>ROUND(SUMIF(PhasesTable[CIP '#],ProjectsTable[[#This Row],[CIP '#]],PhasesTable[Projected Expenditures FY 2023 &amp; Beyond]),0)</f>
        <v>0</v>
      </c>
      <c r="V22" s="115">
        <f>ROUND(SUMIF(PhasesTable[CIP '#],ProjectsTable[[#This Row],[CIP '#]],PhasesTable[2018-2022 CIP Total]),0)</f>
        <v>53900</v>
      </c>
      <c r="W22" s="116">
        <f>ROUND(SUMIF(PhasesTable[CIP '#],ProjectsTable[[#This Row],[CIP '#]],PhasesTable[Project Total]),0)</f>
        <v>53900</v>
      </c>
      <c r="X22" s="180" t="s">
        <v>28</v>
      </c>
    </row>
    <row r="23" spans="1:24" s="67" customFormat="1" ht="28.5" x14ac:dyDescent="0.45">
      <c r="A23" s="158">
        <v>53</v>
      </c>
      <c r="B23" s="159">
        <v>1170</v>
      </c>
      <c r="C23" s="179" t="s">
        <v>99</v>
      </c>
      <c r="D23" s="13" t="s">
        <v>70</v>
      </c>
      <c r="E23" s="12">
        <v>2007</v>
      </c>
      <c r="F23" s="12">
        <v>1707</v>
      </c>
      <c r="G23" s="12">
        <v>170700</v>
      </c>
      <c r="H23" s="12" t="s">
        <v>24</v>
      </c>
      <c r="I23" s="12" t="s">
        <v>24</v>
      </c>
      <c r="J23" s="12" t="s">
        <v>323</v>
      </c>
      <c r="K23" s="12" t="s">
        <v>323</v>
      </c>
      <c r="L23" s="13" t="s">
        <v>27</v>
      </c>
      <c r="M23" s="181" t="s">
        <v>27</v>
      </c>
      <c r="N23" s="110">
        <f>ROUND(SUMIF(PhasesTable[CIP '#],ProjectsTable[[#This Row],[CIP '#]],PhasesTable[Lifetime Actual Thru FY 2016 (Unaudited)]),0)</f>
        <v>9571</v>
      </c>
      <c r="O23" s="111">
        <f>ROUND(SUMIF(PhasesTable[CIP '#],ProjectsTable[[#This Row],[CIP '#]],PhasesTable[Projected Expenditures FY 2017]),0)</f>
        <v>2316</v>
      </c>
      <c r="P23" s="112">
        <f>ROUND(SUMIF(PhasesTable[CIP '#],ProjectsTable[[#This Row],[CIP '#]],PhasesTable[Projected Expenditures FY 2018]),0)</f>
        <v>88</v>
      </c>
      <c r="Q23" s="113">
        <f>ROUND(SUMIF(PhasesTable[CIP '#],ProjectsTable[[#This Row],[CIP '#]],PhasesTable[Projected Expenditures FY 2019]),0)</f>
        <v>0</v>
      </c>
      <c r="R23" s="113">
        <f>ROUND(SUMIF(PhasesTable[CIP '#],ProjectsTable[[#This Row],[CIP '#]],PhasesTable[Projected Expenditures FY 2020]),0)</f>
        <v>0</v>
      </c>
      <c r="S23" s="113">
        <f>ROUND(SUMIF(PhasesTable[CIP '#],ProjectsTable[[#This Row],[CIP '#]],PhasesTable[Projected Expenditures FY 2021]),0)</f>
        <v>0</v>
      </c>
      <c r="T23" s="114">
        <f>ROUND(SUMIF(PhasesTable[CIP '#],ProjectsTable[[#This Row],[CIP '#]],PhasesTable[Projected Expenditures FY 2022]),0)</f>
        <v>0</v>
      </c>
      <c r="U23" s="111">
        <f>ROUND(SUMIF(PhasesTable[CIP '#],ProjectsTable[[#This Row],[CIP '#]],PhasesTable[Projected Expenditures FY 2023 &amp; Beyond]),0)</f>
        <v>0</v>
      </c>
      <c r="V23" s="115">
        <f>ROUND(SUMIF(PhasesTable[CIP '#],ProjectsTable[[#This Row],[CIP '#]],PhasesTable[2018-2022 CIP Total]),0)</f>
        <v>88</v>
      </c>
      <c r="W23" s="116">
        <f>ROUND(SUMIF(PhasesTable[CIP '#],ProjectsTable[[#This Row],[CIP '#]],PhasesTable[Project Total]),0)</f>
        <v>11975</v>
      </c>
      <c r="X23" s="180" t="s">
        <v>100</v>
      </c>
    </row>
    <row r="24" spans="1:24" s="50" customFormat="1" ht="42.75" x14ac:dyDescent="0.45">
      <c r="A24" s="172">
        <v>131</v>
      </c>
      <c r="B24" s="173">
        <v>1182</v>
      </c>
      <c r="C24" s="174" t="s">
        <v>188</v>
      </c>
      <c r="D24" s="175" t="s">
        <v>116</v>
      </c>
      <c r="E24" s="175">
        <v>2007</v>
      </c>
      <c r="F24" s="175">
        <v>3809</v>
      </c>
      <c r="G24" s="175">
        <v>380900</v>
      </c>
      <c r="H24" s="175" t="s">
        <v>292</v>
      </c>
      <c r="I24" s="175" t="s">
        <v>280</v>
      </c>
      <c r="J24" s="175" t="s">
        <v>323</v>
      </c>
      <c r="K24" s="175" t="s">
        <v>323</v>
      </c>
      <c r="L24" s="175" t="s">
        <v>27</v>
      </c>
      <c r="M24" s="175" t="s">
        <v>27</v>
      </c>
      <c r="N24" s="233">
        <f>ROUND(SUMIF(PhasesTable[CIP '#],ProjectsTable[[#This Row],[CIP '#]],PhasesTable[Lifetime Actual Thru FY 2016 (Unaudited)]),0)</f>
        <v>28</v>
      </c>
      <c r="O24" s="233">
        <f>ROUND(SUMIF(PhasesTable[CIP '#],ProjectsTable[[#This Row],[CIP '#]],PhasesTable[Projected Expenditures FY 2017]),0)</f>
        <v>1250</v>
      </c>
      <c r="P24" s="234">
        <f>ROUND(SUMIF(PhasesTable[CIP '#],ProjectsTable[[#This Row],[CIP '#]],PhasesTable[Projected Expenditures FY 2018]),0)</f>
        <v>1154</v>
      </c>
      <c r="Q24" s="235">
        <f>ROUND(SUMIF(PhasesTable[CIP '#],ProjectsTable[[#This Row],[CIP '#]],PhasesTable[Projected Expenditures FY 2019]),0)</f>
        <v>0</v>
      </c>
      <c r="R24" s="235">
        <f>ROUND(SUMIF(PhasesTable[CIP '#],ProjectsTable[[#This Row],[CIP '#]],PhasesTable[Projected Expenditures FY 2020]),0)</f>
        <v>0</v>
      </c>
      <c r="S24" s="235">
        <f>ROUND(SUMIF(PhasesTable[CIP '#],ProjectsTable[[#This Row],[CIP '#]],PhasesTable[Projected Expenditures FY 2021]),0)</f>
        <v>0</v>
      </c>
      <c r="T24" s="236">
        <f>ROUND(SUMIF(PhasesTable[CIP '#],ProjectsTable[[#This Row],[CIP '#]],PhasesTable[Projected Expenditures FY 2022]),0)</f>
        <v>0</v>
      </c>
      <c r="U24" s="233">
        <f>ROUND(SUMIF(PhasesTable[CIP '#],ProjectsTable[[#This Row],[CIP '#]],PhasesTable[Projected Expenditures FY 2023 &amp; Beyond]),0)</f>
        <v>0</v>
      </c>
      <c r="V24" s="237">
        <f>ROUND(SUMIF(PhasesTable[CIP '#],ProjectsTable[[#This Row],[CIP '#]],PhasesTable[2018-2022 CIP Total]),0)</f>
        <v>1154</v>
      </c>
      <c r="W24" s="238">
        <f>ROUND(SUMIF(PhasesTable[CIP '#],ProjectsTable[[#This Row],[CIP '#]],PhasesTable[Project Total]),0)</f>
        <v>2432</v>
      </c>
      <c r="X24" s="182" t="s">
        <v>137</v>
      </c>
    </row>
    <row r="25" spans="1:24" s="50" customFormat="1" ht="28.5" x14ac:dyDescent="0.45">
      <c r="A25" s="20">
        <v>72</v>
      </c>
      <c r="B25" s="165">
        <v>1189</v>
      </c>
      <c r="C25" s="166" t="s">
        <v>126</v>
      </c>
      <c r="D25" s="23" t="s">
        <v>23</v>
      </c>
      <c r="E25" s="55">
        <v>2008</v>
      </c>
      <c r="F25" s="55">
        <v>211</v>
      </c>
      <c r="G25" s="55">
        <v>211004</v>
      </c>
      <c r="H25" s="55" t="s">
        <v>119</v>
      </c>
      <c r="I25" s="55" t="s">
        <v>119</v>
      </c>
      <c r="J25" s="55" t="s">
        <v>72</v>
      </c>
      <c r="K25" s="55" t="s">
        <v>120</v>
      </c>
      <c r="L25" s="167" t="s">
        <v>27</v>
      </c>
      <c r="M25" s="168" t="s">
        <v>27</v>
      </c>
      <c r="N25" s="117">
        <f>ROUND(SUMIF(PhasesTable[CIP '#],ProjectsTable[[#This Row],[CIP '#]],PhasesTable[Lifetime Actual Thru FY 2016 (Unaudited)]),0)</f>
        <v>13887</v>
      </c>
      <c r="O25" s="117">
        <f>ROUND(SUMIF(PhasesTable[CIP '#],ProjectsTable[[#This Row],[CIP '#]],PhasesTable[Projected Expenditures FY 2017]),0)</f>
        <v>2303</v>
      </c>
      <c r="P25" s="118">
        <f>ROUND(SUMIF(PhasesTable[CIP '#],ProjectsTable[[#This Row],[CIP '#]],PhasesTable[Projected Expenditures FY 2018]),0)</f>
        <v>2652</v>
      </c>
      <c r="Q25" s="119">
        <f>ROUND(SUMIF(PhasesTable[CIP '#],ProjectsTable[[#This Row],[CIP '#]],PhasesTable[Projected Expenditures FY 2019]),0)</f>
        <v>2652</v>
      </c>
      <c r="R25" s="119">
        <f>ROUND(SUMIF(PhasesTable[CIP '#],ProjectsTable[[#This Row],[CIP '#]],PhasesTable[Projected Expenditures FY 2020]),0)</f>
        <v>0</v>
      </c>
      <c r="S25" s="119">
        <f>ROUND(SUMIF(PhasesTable[CIP '#],ProjectsTable[[#This Row],[CIP '#]],PhasesTable[Projected Expenditures FY 2021]),0)</f>
        <v>0</v>
      </c>
      <c r="T25" s="120">
        <f>ROUND(SUMIF(PhasesTable[CIP '#],ProjectsTable[[#This Row],[CIP '#]],PhasesTable[Projected Expenditures FY 2022]),0)</f>
        <v>0</v>
      </c>
      <c r="U25" s="117">
        <f>ROUND(SUMIF(PhasesTable[CIP '#],ProjectsTable[[#This Row],[CIP '#]],PhasesTable[Projected Expenditures FY 2023 &amp; Beyond]),0)</f>
        <v>0</v>
      </c>
      <c r="V25" s="121">
        <f>ROUND(SUMIF(PhasesTable[CIP '#],ProjectsTable[[#This Row],[CIP '#]],PhasesTable[2018-2022 CIP Total]),0)</f>
        <v>5304</v>
      </c>
      <c r="W25" s="122">
        <f>ROUND(SUMIF(PhasesTable[CIP '#],ProjectsTable[[#This Row],[CIP '#]],PhasesTable[Project Total]),0)</f>
        <v>21494</v>
      </c>
      <c r="X25" s="169" t="s">
        <v>41</v>
      </c>
    </row>
    <row r="26" spans="1:24" s="43" customFormat="1" ht="42.75" x14ac:dyDescent="0.45">
      <c r="A26" s="20">
        <v>79</v>
      </c>
      <c r="B26" s="165">
        <v>1194</v>
      </c>
      <c r="C26" s="166" t="s">
        <v>135</v>
      </c>
      <c r="D26" s="23" t="s">
        <v>23</v>
      </c>
      <c r="E26" s="55">
        <v>2008</v>
      </c>
      <c r="F26" s="55">
        <v>212</v>
      </c>
      <c r="G26" s="55">
        <v>212003</v>
      </c>
      <c r="H26" s="55" t="s">
        <v>119</v>
      </c>
      <c r="I26" s="55" t="s">
        <v>119</v>
      </c>
      <c r="J26" s="55" t="s">
        <v>72</v>
      </c>
      <c r="K26" s="55" t="s">
        <v>133</v>
      </c>
      <c r="L26" s="167" t="s">
        <v>27</v>
      </c>
      <c r="M26" s="168" t="s">
        <v>27</v>
      </c>
      <c r="N26" s="117">
        <f>ROUND(SUMIF(PhasesTable[CIP '#],ProjectsTable[[#This Row],[CIP '#]],PhasesTable[Lifetime Actual Thru FY 2016 (Unaudited)]),0)</f>
        <v>0</v>
      </c>
      <c r="O26" s="117">
        <f>ROUND(SUMIF(PhasesTable[CIP '#],ProjectsTable[[#This Row],[CIP '#]],PhasesTable[Projected Expenditures FY 2017]),0)</f>
        <v>2348</v>
      </c>
      <c r="P26" s="118">
        <f>ROUND(SUMIF(PhasesTable[CIP '#],ProjectsTable[[#This Row],[CIP '#]],PhasesTable[Projected Expenditures FY 2018]),0)</f>
        <v>11197</v>
      </c>
      <c r="Q26" s="119">
        <f>ROUND(SUMIF(PhasesTable[CIP '#],ProjectsTable[[#This Row],[CIP '#]],PhasesTable[Projected Expenditures FY 2019]),0)</f>
        <v>2658</v>
      </c>
      <c r="R26" s="119">
        <f>ROUND(SUMIF(PhasesTable[CIP '#],ProjectsTable[[#This Row],[CIP '#]],PhasesTable[Projected Expenditures FY 2020]),0)</f>
        <v>0</v>
      </c>
      <c r="S26" s="119">
        <f>ROUND(SUMIF(PhasesTable[CIP '#],ProjectsTable[[#This Row],[CIP '#]],PhasesTable[Projected Expenditures FY 2021]),0)</f>
        <v>0</v>
      </c>
      <c r="T26" s="120">
        <f>ROUND(SUMIF(PhasesTable[CIP '#],ProjectsTable[[#This Row],[CIP '#]],PhasesTable[Projected Expenditures FY 2022]),0)</f>
        <v>0</v>
      </c>
      <c r="U26" s="117">
        <f>ROUND(SUMIF(PhasesTable[CIP '#],ProjectsTable[[#This Row],[CIP '#]],PhasesTable[Projected Expenditures FY 2023 &amp; Beyond]),0)</f>
        <v>0</v>
      </c>
      <c r="V26" s="121">
        <f>ROUND(SUMIF(PhasesTable[CIP '#],ProjectsTable[[#This Row],[CIP '#]],PhasesTable[2018-2022 CIP Total]),0)</f>
        <v>13855</v>
      </c>
      <c r="W26" s="122">
        <f>ROUND(SUMIF(PhasesTable[CIP '#],ProjectsTable[[#This Row],[CIP '#]],PhasesTable[Project Total]),0)</f>
        <v>16203</v>
      </c>
      <c r="X26" s="169" t="s">
        <v>121</v>
      </c>
    </row>
    <row r="27" spans="1:24" s="43" customFormat="1" ht="28.5" x14ac:dyDescent="0.45">
      <c r="A27" s="172">
        <v>132</v>
      </c>
      <c r="B27" s="173">
        <v>1206</v>
      </c>
      <c r="C27" s="174" t="s">
        <v>192</v>
      </c>
      <c r="D27" s="175" t="s">
        <v>23</v>
      </c>
      <c r="E27" s="175">
        <v>2009</v>
      </c>
      <c r="F27" s="175">
        <v>361</v>
      </c>
      <c r="G27" s="175">
        <v>361002</v>
      </c>
      <c r="H27" s="175" t="s">
        <v>292</v>
      </c>
      <c r="I27" s="175" t="s">
        <v>280</v>
      </c>
      <c r="J27" s="175" t="s">
        <v>185</v>
      </c>
      <c r="K27" s="175" t="s">
        <v>67</v>
      </c>
      <c r="L27" s="175" t="s">
        <v>27</v>
      </c>
      <c r="M27" s="175" t="s">
        <v>27</v>
      </c>
      <c r="N27" s="233">
        <f>ROUND(SUMIF(PhasesTable[CIP '#],ProjectsTable[[#This Row],[CIP '#]],PhasesTable[Lifetime Actual Thru FY 2016 (Unaudited)]),0)</f>
        <v>6003</v>
      </c>
      <c r="O27" s="233">
        <f>ROUND(SUMIF(PhasesTable[CIP '#],ProjectsTable[[#This Row],[CIP '#]],PhasesTable[Projected Expenditures FY 2017]),0)</f>
        <v>10</v>
      </c>
      <c r="P27" s="234">
        <f>ROUND(SUMIF(PhasesTable[CIP '#],ProjectsTable[[#This Row],[CIP '#]],PhasesTable[Projected Expenditures FY 2018]),0)</f>
        <v>0</v>
      </c>
      <c r="Q27" s="235">
        <f>ROUND(SUMIF(PhasesTable[CIP '#],ProjectsTable[[#This Row],[CIP '#]],PhasesTable[Projected Expenditures FY 2019]),0)</f>
        <v>0</v>
      </c>
      <c r="R27" s="235">
        <f>ROUND(SUMIF(PhasesTable[CIP '#],ProjectsTable[[#This Row],[CIP '#]],PhasesTable[Projected Expenditures FY 2020]),0)</f>
        <v>0</v>
      </c>
      <c r="S27" s="235">
        <f>ROUND(SUMIF(PhasesTable[CIP '#],ProjectsTable[[#This Row],[CIP '#]],PhasesTable[Projected Expenditures FY 2021]),0)</f>
        <v>0</v>
      </c>
      <c r="T27" s="236">
        <f>ROUND(SUMIF(PhasesTable[CIP '#],ProjectsTable[[#This Row],[CIP '#]],PhasesTable[Projected Expenditures FY 2022]),0)</f>
        <v>0</v>
      </c>
      <c r="U27" s="233">
        <f>ROUND(SUMIF(PhasesTable[CIP '#],ProjectsTable[[#This Row],[CIP '#]],PhasesTable[Projected Expenditures FY 2023 &amp; Beyond]),0)</f>
        <v>0</v>
      </c>
      <c r="V27" s="237">
        <f>ROUND(SUMIF(PhasesTable[CIP '#],ProjectsTable[[#This Row],[CIP '#]],PhasesTable[2018-2022 CIP Total]),0)</f>
        <v>0</v>
      </c>
      <c r="W27" s="238">
        <f>ROUND(SUMIF(PhasesTable[CIP '#],ProjectsTable[[#This Row],[CIP '#]],PhasesTable[Project Total]),0)</f>
        <v>6013</v>
      </c>
      <c r="X27" s="176" t="s">
        <v>79</v>
      </c>
    </row>
    <row r="28" spans="1:24" s="18" customFormat="1" ht="28.5" x14ac:dyDescent="0.45">
      <c r="A28" s="172">
        <v>133</v>
      </c>
      <c r="B28" s="173">
        <v>1207</v>
      </c>
      <c r="C28" s="174" t="s">
        <v>193</v>
      </c>
      <c r="D28" s="175" t="s">
        <v>23</v>
      </c>
      <c r="E28" s="175">
        <v>2009</v>
      </c>
      <c r="F28" s="175">
        <v>361</v>
      </c>
      <c r="G28" s="175">
        <v>361003</v>
      </c>
      <c r="H28" s="175" t="s">
        <v>292</v>
      </c>
      <c r="I28" s="175" t="s">
        <v>280</v>
      </c>
      <c r="J28" s="175" t="s">
        <v>185</v>
      </c>
      <c r="K28" s="175" t="s">
        <v>67</v>
      </c>
      <c r="L28" s="175" t="s">
        <v>27</v>
      </c>
      <c r="M28" s="175" t="s">
        <v>27</v>
      </c>
      <c r="N28" s="233">
        <f>ROUND(SUMIF(PhasesTable[CIP '#],ProjectsTable[[#This Row],[CIP '#]],PhasesTable[Lifetime Actual Thru FY 2016 (Unaudited)]),0)</f>
        <v>6221</v>
      </c>
      <c r="O28" s="233">
        <f>ROUND(SUMIF(PhasesTable[CIP '#],ProjectsTable[[#This Row],[CIP '#]],PhasesTable[Projected Expenditures FY 2017]),0)</f>
        <v>218</v>
      </c>
      <c r="P28" s="234">
        <f>ROUND(SUMIF(PhasesTable[CIP '#],ProjectsTable[[#This Row],[CIP '#]],PhasesTable[Projected Expenditures FY 2018]),0)</f>
        <v>0</v>
      </c>
      <c r="Q28" s="235">
        <f>ROUND(SUMIF(PhasesTable[CIP '#],ProjectsTable[[#This Row],[CIP '#]],PhasesTable[Projected Expenditures FY 2019]),0)</f>
        <v>0</v>
      </c>
      <c r="R28" s="235">
        <f>ROUND(SUMIF(PhasesTable[CIP '#],ProjectsTable[[#This Row],[CIP '#]],PhasesTable[Projected Expenditures FY 2020]),0)</f>
        <v>0</v>
      </c>
      <c r="S28" s="235">
        <f>ROUND(SUMIF(PhasesTable[CIP '#],ProjectsTable[[#This Row],[CIP '#]],PhasesTable[Projected Expenditures FY 2021]),0)</f>
        <v>0</v>
      </c>
      <c r="T28" s="236">
        <f>ROUND(SUMIF(PhasesTable[CIP '#],ProjectsTable[[#This Row],[CIP '#]],PhasesTable[Projected Expenditures FY 2022]),0)</f>
        <v>0</v>
      </c>
      <c r="U28" s="233">
        <f>ROUND(SUMIF(PhasesTable[CIP '#],ProjectsTable[[#This Row],[CIP '#]],PhasesTable[Projected Expenditures FY 2023 &amp; Beyond]),0)</f>
        <v>0</v>
      </c>
      <c r="V28" s="237">
        <f>ROUND(SUMIF(PhasesTable[CIP '#],ProjectsTable[[#This Row],[CIP '#]],PhasesTable[2018-2022 CIP Total]),0)</f>
        <v>0</v>
      </c>
      <c r="W28" s="238">
        <f>ROUND(SUMIF(PhasesTable[CIP '#],ProjectsTable[[#This Row],[CIP '#]],PhasesTable[Project Total]),0)</f>
        <v>6439</v>
      </c>
      <c r="X28" s="176" t="s">
        <v>79</v>
      </c>
    </row>
    <row r="29" spans="1:24" s="50" customFormat="1" ht="28.5" x14ac:dyDescent="0.45">
      <c r="A29" s="158">
        <v>35</v>
      </c>
      <c r="B29" s="159">
        <v>1216</v>
      </c>
      <c r="C29" s="160" t="s">
        <v>77</v>
      </c>
      <c r="D29" s="161" t="s">
        <v>23</v>
      </c>
      <c r="E29" s="162">
        <v>2010</v>
      </c>
      <c r="F29" s="162">
        <v>122</v>
      </c>
      <c r="G29" s="162">
        <v>122002</v>
      </c>
      <c r="H29" s="162" t="s">
        <v>24</v>
      </c>
      <c r="I29" s="162" t="s">
        <v>24</v>
      </c>
      <c r="J29" s="161" t="s">
        <v>74</v>
      </c>
      <c r="K29" s="161" t="s">
        <v>75</v>
      </c>
      <c r="L29" s="161" t="s">
        <v>27</v>
      </c>
      <c r="M29" s="163" t="s">
        <v>27</v>
      </c>
      <c r="N29" s="226">
        <f>ROUND(SUMIF(PhasesTable[CIP '#],ProjectsTable[[#This Row],[CIP '#]],PhasesTable[Lifetime Actual Thru FY 2016 (Unaudited)]),0)</f>
        <v>1015</v>
      </c>
      <c r="O29" s="227">
        <f>ROUND(SUMIF(PhasesTable[CIP '#],ProjectsTable[[#This Row],[CIP '#]],PhasesTable[Projected Expenditures FY 2017]),0)</f>
        <v>1205</v>
      </c>
      <c r="P29" s="228">
        <f>ROUND(SUMIF(PhasesTable[CIP '#],ProjectsTable[[#This Row],[CIP '#]],PhasesTable[Projected Expenditures FY 2018]),0)</f>
        <v>0</v>
      </c>
      <c r="Q29" s="229">
        <f>ROUND(SUMIF(PhasesTable[CIP '#],ProjectsTable[[#This Row],[CIP '#]],PhasesTable[Projected Expenditures FY 2019]),0)</f>
        <v>0</v>
      </c>
      <c r="R29" s="229">
        <f>ROUND(SUMIF(PhasesTable[CIP '#],ProjectsTable[[#This Row],[CIP '#]],PhasesTable[Projected Expenditures FY 2020]),0)</f>
        <v>0</v>
      </c>
      <c r="S29" s="229">
        <f>ROUND(SUMIF(PhasesTable[CIP '#],ProjectsTable[[#This Row],[CIP '#]],PhasesTable[Projected Expenditures FY 2021]),0)</f>
        <v>0</v>
      </c>
      <c r="T29" s="230">
        <f>ROUND(SUMIF(PhasesTable[CIP '#],ProjectsTable[[#This Row],[CIP '#]],PhasesTable[Projected Expenditures FY 2022]),0)</f>
        <v>0</v>
      </c>
      <c r="U29" s="227">
        <f>ROUND(SUMIF(PhasesTable[CIP '#],ProjectsTable[[#This Row],[CIP '#]],PhasesTable[Projected Expenditures FY 2023 &amp; Beyond]),0)</f>
        <v>0</v>
      </c>
      <c r="V29" s="231">
        <f>ROUND(SUMIF(PhasesTable[CIP '#],ProjectsTable[[#This Row],[CIP '#]],PhasesTable[2018-2022 CIP Total]),0)</f>
        <v>0</v>
      </c>
      <c r="W29" s="232">
        <f>ROUND(SUMIF(PhasesTable[CIP '#],ProjectsTable[[#This Row],[CIP '#]],PhasesTable[Project Total]),0)</f>
        <v>2220</v>
      </c>
      <c r="X29" s="164" t="s">
        <v>47</v>
      </c>
    </row>
    <row r="30" spans="1:24" s="50" customFormat="1" ht="28.5" x14ac:dyDescent="0.45">
      <c r="A30" s="20">
        <v>87</v>
      </c>
      <c r="B30" s="165">
        <v>1221</v>
      </c>
      <c r="C30" s="177" t="s">
        <v>143</v>
      </c>
      <c r="D30" s="55" t="s">
        <v>23</v>
      </c>
      <c r="E30" s="55">
        <v>2010</v>
      </c>
      <c r="F30" s="55">
        <v>213</v>
      </c>
      <c r="G30" s="55">
        <v>213002</v>
      </c>
      <c r="H30" s="55" t="s">
        <v>119</v>
      </c>
      <c r="I30" s="55" t="s">
        <v>119</v>
      </c>
      <c r="J30" s="55" t="s">
        <v>72</v>
      </c>
      <c r="K30" s="55" t="s">
        <v>140</v>
      </c>
      <c r="L30" s="55" t="s">
        <v>27</v>
      </c>
      <c r="M30" s="55">
        <v>60.2</v>
      </c>
      <c r="N30" s="117">
        <f>ROUND(SUMIF(PhasesTable[CIP '#],ProjectsTable[[#This Row],[CIP '#]],PhasesTable[Lifetime Actual Thru FY 2016 (Unaudited)]),0)</f>
        <v>0</v>
      </c>
      <c r="O30" s="117">
        <f>ROUND(SUMIF(PhasesTable[CIP '#],ProjectsTable[[#This Row],[CIP '#]],PhasesTable[Projected Expenditures FY 2017]),0)</f>
        <v>800</v>
      </c>
      <c r="P30" s="118">
        <f>ROUND(SUMIF(PhasesTable[CIP '#],ProjectsTable[[#This Row],[CIP '#]],PhasesTable[Projected Expenditures FY 2018]),0)</f>
        <v>5850</v>
      </c>
      <c r="Q30" s="119">
        <f>ROUND(SUMIF(PhasesTable[CIP '#],ProjectsTable[[#This Row],[CIP '#]],PhasesTable[Projected Expenditures FY 2019]),0)</f>
        <v>6750</v>
      </c>
      <c r="R30" s="119">
        <f>ROUND(SUMIF(PhasesTable[CIP '#],ProjectsTable[[#This Row],[CIP '#]],PhasesTable[Projected Expenditures FY 2020]),0)</f>
        <v>4350</v>
      </c>
      <c r="S30" s="119">
        <f>ROUND(SUMIF(PhasesTable[CIP '#],ProjectsTable[[#This Row],[CIP '#]],PhasesTable[Projected Expenditures FY 2021]),0)</f>
        <v>0</v>
      </c>
      <c r="T30" s="120">
        <f>ROUND(SUMIF(PhasesTable[CIP '#],ProjectsTable[[#This Row],[CIP '#]],PhasesTable[Projected Expenditures FY 2022]),0)</f>
        <v>0</v>
      </c>
      <c r="U30" s="117">
        <f>ROUND(SUMIF(PhasesTable[CIP '#],ProjectsTable[[#This Row],[CIP '#]],PhasesTable[Projected Expenditures FY 2023 &amp; Beyond]),0)</f>
        <v>0</v>
      </c>
      <c r="V30" s="121">
        <f>ROUND(SUMIF(PhasesTable[CIP '#],ProjectsTable[[#This Row],[CIP '#]],PhasesTable[2018-2022 CIP Total]),0)</f>
        <v>16950</v>
      </c>
      <c r="W30" s="122">
        <f>ROUND(SUMIF(PhasesTable[CIP '#],ProjectsTable[[#This Row],[CIP '#]],PhasesTable[Project Total]),0)</f>
        <v>17750</v>
      </c>
      <c r="X30" s="183" t="s">
        <v>125</v>
      </c>
    </row>
    <row r="31" spans="1:24" s="50" customFormat="1" ht="42.75" x14ac:dyDescent="0.45">
      <c r="A31" s="20">
        <v>82</v>
      </c>
      <c r="B31" s="165">
        <v>1222</v>
      </c>
      <c r="C31" s="166" t="s">
        <v>295</v>
      </c>
      <c r="D31" s="23" t="s">
        <v>23</v>
      </c>
      <c r="E31" s="55">
        <v>2010</v>
      </c>
      <c r="F31" s="55">
        <v>212</v>
      </c>
      <c r="G31" s="55">
        <v>212004</v>
      </c>
      <c r="H31" s="55" t="s">
        <v>119</v>
      </c>
      <c r="I31" s="55" t="s">
        <v>119</v>
      </c>
      <c r="J31" s="55" t="s">
        <v>72</v>
      </c>
      <c r="K31" s="55" t="s">
        <v>133</v>
      </c>
      <c r="L31" s="167" t="s">
        <v>27</v>
      </c>
      <c r="M31" s="168">
        <v>52.800000000000004</v>
      </c>
      <c r="N31" s="117">
        <f>ROUND(SUMIF(PhasesTable[CIP '#],ProjectsTable[[#This Row],[CIP '#]],PhasesTable[Lifetime Actual Thru FY 2016 (Unaudited)]),0)</f>
        <v>0</v>
      </c>
      <c r="O31" s="117">
        <f>ROUND(SUMIF(PhasesTable[CIP '#],ProjectsTable[[#This Row],[CIP '#]],PhasesTable[Projected Expenditures FY 2017]),0)</f>
        <v>0</v>
      </c>
      <c r="P31" s="118">
        <f>ROUND(SUMIF(PhasesTable[CIP '#],ProjectsTable[[#This Row],[CIP '#]],PhasesTable[Projected Expenditures FY 2018]),0)</f>
        <v>400</v>
      </c>
      <c r="Q31" s="119">
        <f>ROUND(SUMIF(PhasesTable[CIP '#],ProjectsTable[[#This Row],[CIP '#]],PhasesTable[Projected Expenditures FY 2019]),0)</f>
        <v>2800</v>
      </c>
      <c r="R31" s="119">
        <f>ROUND(SUMIF(PhasesTable[CIP '#],ProjectsTable[[#This Row],[CIP '#]],PhasesTable[Projected Expenditures FY 2020]),0)</f>
        <v>1800</v>
      </c>
      <c r="S31" s="119">
        <f>ROUND(SUMIF(PhasesTable[CIP '#],ProjectsTable[[#This Row],[CIP '#]],PhasesTable[Projected Expenditures FY 2021]),0)</f>
        <v>0</v>
      </c>
      <c r="T31" s="120">
        <f>ROUND(SUMIF(PhasesTable[CIP '#],ProjectsTable[[#This Row],[CIP '#]],PhasesTable[Projected Expenditures FY 2022]),0)</f>
        <v>0</v>
      </c>
      <c r="U31" s="117">
        <f>ROUND(SUMIF(PhasesTable[CIP '#],ProjectsTable[[#This Row],[CIP '#]],PhasesTable[Projected Expenditures FY 2023 &amp; Beyond]),0)</f>
        <v>0</v>
      </c>
      <c r="V31" s="121">
        <f>ROUND(SUMIF(PhasesTable[CIP '#],ProjectsTable[[#This Row],[CIP '#]],PhasesTable[2018-2022 CIP Total]),0)</f>
        <v>5000</v>
      </c>
      <c r="W31" s="122">
        <f>ROUND(SUMIF(PhasesTable[CIP '#],ProjectsTable[[#This Row],[CIP '#]],PhasesTable[Project Total]),0)</f>
        <v>5000</v>
      </c>
      <c r="X31" s="169" t="s">
        <v>137</v>
      </c>
    </row>
    <row r="32" spans="1:24" s="67" customFormat="1" ht="28.5" x14ac:dyDescent="0.45">
      <c r="A32" s="20">
        <v>99</v>
      </c>
      <c r="B32" s="165">
        <v>1223</v>
      </c>
      <c r="C32" s="166" t="s">
        <v>302</v>
      </c>
      <c r="D32" s="23" t="s">
        <v>23</v>
      </c>
      <c r="E32" s="55">
        <v>2010</v>
      </c>
      <c r="F32" s="55">
        <v>216</v>
      </c>
      <c r="G32" s="55">
        <v>216004</v>
      </c>
      <c r="H32" s="55" t="s">
        <v>119</v>
      </c>
      <c r="I32" s="55" t="s">
        <v>119</v>
      </c>
      <c r="J32" s="55" t="s">
        <v>72</v>
      </c>
      <c r="K32" s="55" t="s">
        <v>67</v>
      </c>
      <c r="L32" s="167" t="s">
        <v>27</v>
      </c>
      <c r="M32" s="168">
        <v>64.800000000000011</v>
      </c>
      <c r="N32" s="117">
        <f>ROUND(SUMIF(PhasesTable[CIP '#],ProjectsTable[[#This Row],[CIP '#]],PhasesTable[Lifetime Actual Thru FY 2016 (Unaudited)]),0)</f>
        <v>0</v>
      </c>
      <c r="O32" s="117">
        <f>ROUND(SUMIF(PhasesTable[CIP '#],ProjectsTable[[#This Row],[CIP '#]],PhasesTable[Projected Expenditures FY 2017]),0)</f>
        <v>0</v>
      </c>
      <c r="P32" s="118">
        <f>ROUND(SUMIF(PhasesTable[CIP '#],ProjectsTable[[#This Row],[CIP '#]],PhasesTable[Projected Expenditures FY 2018]),0)</f>
        <v>2500</v>
      </c>
      <c r="Q32" s="119">
        <f>ROUND(SUMIF(PhasesTable[CIP '#],ProjectsTable[[#This Row],[CIP '#]],PhasesTable[Projected Expenditures FY 2019]),0)</f>
        <v>2500</v>
      </c>
      <c r="R32" s="119">
        <f>ROUND(SUMIF(PhasesTable[CIP '#],ProjectsTable[[#This Row],[CIP '#]],PhasesTable[Projected Expenditures FY 2020]),0)</f>
        <v>0</v>
      </c>
      <c r="S32" s="119">
        <f>ROUND(SUMIF(PhasesTable[CIP '#],ProjectsTable[[#This Row],[CIP '#]],PhasesTable[Projected Expenditures FY 2021]),0)</f>
        <v>0</v>
      </c>
      <c r="T32" s="120">
        <f>ROUND(SUMIF(PhasesTable[CIP '#],ProjectsTable[[#This Row],[CIP '#]],PhasesTable[Projected Expenditures FY 2022]),0)</f>
        <v>0</v>
      </c>
      <c r="U32" s="117">
        <f>ROUND(SUMIF(PhasesTable[CIP '#],ProjectsTable[[#This Row],[CIP '#]],PhasesTable[Projected Expenditures FY 2023 &amp; Beyond]),0)</f>
        <v>0</v>
      </c>
      <c r="V32" s="121">
        <f>ROUND(SUMIF(PhasesTable[CIP '#],ProjectsTable[[#This Row],[CIP '#]],PhasesTable[2018-2022 CIP Total]),0)</f>
        <v>5000</v>
      </c>
      <c r="W32" s="122">
        <f>ROUND(SUMIF(PhasesTable[CIP '#],ProjectsTable[[#This Row],[CIP '#]],PhasesTable[Project Total]),0)</f>
        <v>5000</v>
      </c>
      <c r="X32" s="169" t="s">
        <v>125</v>
      </c>
    </row>
    <row r="33" spans="1:24" s="50" customFormat="1" ht="42.75" x14ac:dyDescent="0.45">
      <c r="A33" s="158">
        <v>54</v>
      </c>
      <c r="B33" s="159">
        <v>1226</v>
      </c>
      <c r="C33" s="160" t="s">
        <v>101</v>
      </c>
      <c r="D33" s="161" t="s">
        <v>23</v>
      </c>
      <c r="E33" s="162">
        <v>2010</v>
      </c>
      <c r="F33" s="162">
        <v>132</v>
      </c>
      <c r="G33" s="162">
        <v>132002</v>
      </c>
      <c r="H33" s="162" t="s">
        <v>24</v>
      </c>
      <c r="I33" s="162" t="s">
        <v>24</v>
      </c>
      <c r="J33" s="161" t="s">
        <v>97</v>
      </c>
      <c r="K33" s="161" t="s">
        <v>98</v>
      </c>
      <c r="L33" s="161" t="s">
        <v>27</v>
      </c>
      <c r="M33" s="163" t="s">
        <v>27</v>
      </c>
      <c r="N33" s="226">
        <f>ROUND(SUMIF(PhasesTable[CIP '#],ProjectsTable[[#This Row],[CIP '#]],PhasesTable[Lifetime Actual Thru FY 2016 (Unaudited)]),0)</f>
        <v>611</v>
      </c>
      <c r="O33" s="227">
        <f>ROUND(SUMIF(PhasesTable[CIP '#],ProjectsTable[[#This Row],[CIP '#]],PhasesTable[Projected Expenditures FY 2017]),0)</f>
        <v>1</v>
      </c>
      <c r="P33" s="228">
        <f>ROUND(SUMIF(PhasesTable[CIP '#],ProjectsTable[[#This Row],[CIP '#]],PhasesTable[Projected Expenditures FY 2018]),0)</f>
        <v>0</v>
      </c>
      <c r="Q33" s="229">
        <f>ROUND(SUMIF(PhasesTable[CIP '#],ProjectsTable[[#This Row],[CIP '#]],PhasesTable[Projected Expenditures FY 2019]),0)</f>
        <v>0</v>
      </c>
      <c r="R33" s="229">
        <f>ROUND(SUMIF(PhasesTable[CIP '#],ProjectsTable[[#This Row],[CIP '#]],PhasesTable[Projected Expenditures FY 2020]),0)</f>
        <v>0</v>
      </c>
      <c r="S33" s="229">
        <f>ROUND(SUMIF(PhasesTable[CIP '#],ProjectsTable[[#This Row],[CIP '#]],PhasesTable[Projected Expenditures FY 2021]),0)</f>
        <v>0</v>
      </c>
      <c r="T33" s="230">
        <f>ROUND(SUMIF(PhasesTable[CIP '#],ProjectsTable[[#This Row],[CIP '#]],PhasesTable[Projected Expenditures FY 2022]),0)</f>
        <v>0</v>
      </c>
      <c r="U33" s="227">
        <f>ROUND(SUMIF(PhasesTable[CIP '#],ProjectsTable[[#This Row],[CIP '#]],PhasesTable[Projected Expenditures FY 2023 &amp; Beyond]),0)</f>
        <v>0</v>
      </c>
      <c r="V33" s="231">
        <f>ROUND(SUMIF(PhasesTable[CIP '#],ProjectsTable[[#This Row],[CIP '#]],PhasesTable[2018-2022 CIP Total]),0)</f>
        <v>0</v>
      </c>
      <c r="W33" s="232">
        <f>ROUND(SUMIF(PhasesTable[CIP '#],ProjectsTable[[#This Row],[CIP '#]],PhasesTable[Project Total]),0)</f>
        <v>612</v>
      </c>
      <c r="X33" s="164" t="s">
        <v>51</v>
      </c>
    </row>
    <row r="34" spans="1:24" s="18" customFormat="1" ht="42.75" x14ac:dyDescent="0.45">
      <c r="A34" s="158">
        <v>1</v>
      </c>
      <c r="B34" s="159">
        <v>1227</v>
      </c>
      <c r="C34" s="160" t="s">
        <v>22</v>
      </c>
      <c r="D34" s="161" t="s">
        <v>23</v>
      </c>
      <c r="E34" s="162">
        <v>2010</v>
      </c>
      <c r="F34" s="162">
        <v>111</v>
      </c>
      <c r="G34" s="162">
        <v>111001</v>
      </c>
      <c r="H34" s="162" t="s">
        <v>24</v>
      </c>
      <c r="I34" s="162" t="s">
        <v>24</v>
      </c>
      <c r="J34" s="161" t="s">
        <v>25</v>
      </c>
      <c r="K34" s="161" t="s">
        <v>26</v>
      </c>
      <c r="L34" s="161">
        <v>64.599999999999994</v>
      </c>
      <c r="M34" s="163">
        <v>71.599999999999994</v>
      </c>
      <c r="N34" s="226">
        <f>ROUND(SUMIF(PhasesTable[CIP '#],ProjectsTable[[#This Row],[CIP '#]],PhasesTable[Lifetime Actual Thru FY 2016 (Unaudited)]),0)</f>
        <v>0</v>
      </c>
      <c r="O34" s="227">
        <f>ROUND(SUMIF(PhasesTable[CIP '#],ProjectsTable[[#This Row],[CIP '#]],PhasesTable[Projected Expenditures FY 2017]),0)</f>
        <v>200</v>
      </c>
      <c r="P34" s="228">
        <f>ROUND(SUMIF(PhasesTable[CIP '#],ProjectsTable[[#This Row],[CIP '#]],PhasesTable[Projected Expenditures FY 2018]),0)</f>
        <v>2500</v>
      </c>
      <c r="Q34" s="229">
        <f>ROUND(SUMIF(PhasesTable[CIP '#],ProjectsTable[[#This Row],[CIP '#]],PhasesTable[Projected Expenditures FY 2019]),0)</f>
        <v>3000</v>
      </c>
      <c r="R34" s="229">
        <f>ROUND(SUMIF(PhasesTable[CIP '#],ProjectsTable[[#This Row],[CIP '#]],PhasesTable[Projected Expenditures FY 2020]),0)</f>
        <v>0</v>
      </c>
      <c r="S34" s="229">
        <f>ROUND(SUMIF(PhasesTable[CIP '#],ProjectsTable[[#This Row],[CIP '#]],PhasesTable[Projected Expenditures FY 2021]),0)</f>
        <v>0</v>
      </c>
      <c r="T34" s="230">
        <f>ROUND(SUMIF(PhasesTable[CIP '#],ProjectsTable[[#This Row],[CIP '#]],PhasesTable[Projected Expenditures FY 2022]),0)</f>
        <v>0</v>
      </c>
      <c r="U34" s="227">
        <f>ROUND(SUMIF(PhasesTable[CIP '#],ProjectsTable[[#This Row],[CIP '#]],PhasesTable[Projected Expenditures FY 2023 &amp; Beyond]),0)</f>
        <v>0</v>
      </c>
      <c r="V34" s="231">
        <f>ROUND(SUMIF(PhasesTable[CIP '#],ProjectsTable[[#This Row],[CIP '#]],PhasesTable[2018-2022 CIP Total]),0)</f>
        <v>5500</v>
      </c>
      <c r="W34" s="232">
        <f>ROUND(SUMIF(PhasesTable[CIP '#],ProjectsTable[[#This Row],[CIP '#]],PhasesTable[Project Total]),0)</f>
        <v>5700</v>
      </c>
      <c r="X34" s="164" t="s">
        <v>28</v>
      </c>
    </row>
    <row r="35" spans="1:24" s="18" customFormat="1" ht="28.5" x14ac:dyDescent="0.45">
      <c r="A35" s="158">
        <v>36</v>
      </c>
      <c r="B35" s="159">
        <v>1230</v>
      </c>
      <c r="C35" s="160" t="s">
        <v>78</v>
      </c>
      <c r="D35" s="161" t="s">
        <v>70</v>
      </c>
      <c r="E35" s="162">
        <v>2010</v>
      </c>
      <c r="F35" s="162">
        <v>1704</v>
      </c>
      <c r="G35" s="162">
        <v>170400</v>
      </c>
      <c r="H35" s="162" t="s">
        <v>24</v>
      </c>
      <c r="I35" s="162" t="s">
        <v>24</v>
      </c>
      <c r="J35" s="162" t="s">
        <v>323</v>
      </c>
      <c r="K35" s="162" t="s">
        <v>323</v>
      </c>
      <c r="L35" s="161" t="s">
        <v>27</v>
      </c>
      <c r="M35" s="163" t="s">
        <v>27</v>
      </c>
      <c r="N35" s="226">
        <f>ROUND(SUMIF(PhasesTable[CIP '#],ProjectsTable[[#This Row],[CIP '#]],PhasesTable[Lifetime Actual Thru FY 2016 (Unaudited)]),0)</f>
        <v>0</v>
      </c>
      <c r="O35" s="227">
        <f>ROUND(SUMIF(PhasesTable[CIP '#],ProjectsTable[[#This Row],[CIP '#]],PhasesTable[Projected Expenditures FY 2017]),0)</f>
        <v>0</v>
      </c>
      <c r="P35" s="228">
        <f>ROUND(SUMIF(PhasesTable[CIP '#],ProjectsTable[[#This Row],[CIP '#]],PhasesTable[Projected Expenditures FY 2018]),0)</f>
        <v>10000</v>
      </c>
      <c r="Q35" s="229">
        <f>ROUND(SUMIF(PhasesTable[CIP '#],ProjectsTable[[#This Row],[CIP '#]],PhasesTable[Projected Expenditures FY 2019]),0)</f>
        <v>10000</v>
      </c>
      <c r="R35" s="229">
        <f>ROUND(SUMIF(PhasesTable[CIP '#],ProjectsTable[[#This Row],[CIP '#]],PhasesTable[Projected Expenditures FY 2020]),0)</f>
        <v>10000</v>
      </c>
      <c r="S35" s="229">
        <f>ROUND(SUMIF(PhasesTable[CIP '#],ProjectsTable[[#This Row],[CIP '#]],PhasesTable[Projected Expenditures FY 2021]),0)</f>
        <v>10000</v>
      </c>
      <c r="T35" s="230">
        <f>ROUND(SUMIF(PhasesTable[CIP '#],ProjectsTable[[#This Row],[CIP '#]],PhasesTable[Projected Expenditures FY 2022]),0)</f>
        <v>10000</v>
      </c>
      <c r="U35" s="227">
        <f>ROUND(SUMIF(PhasesTable[CIP '#],ProjectsTable[[#This Row],[CIP '#]],PhasesTable[Projected Expenditures FY 2023 &amp; Beyond]),0)</f>
        <v>0</v>
      </c>
      <c r="V35" s="231">
        <f>ROUND(SUMIF(PhasesTable[CIP '#],ProjectsTable[[#This Row],[CIP '#]],PhasesTable[2018-2022 CIP Total]),0)</f>
        <v>50000</v>
      </c>
      <c r="W35" s="232">
        <f>ROUND(SUMIF(PhasesTable[CIP '#],ProjectsTable[[#This Row],[CIP '#]],PhasesTable[Project Total]),0)</f>
        <v>50000</v>
      </c>
      <c r="X35" s="164" t="s">
        <v>79</v>
      </c>
    </row>
    <row r="36" spans="1:24" s="18" customFormat="1" ht="28.5" x14ac:dyDescent="0.45">
      <c r="A36" s="158">
        <v>66</v>
      </c>
      <c r="B36" s="159">
        <v>1233</v>
      </c>
      <c r="C36" s="160" t="s">
        <v>114</v>
      </c>
      <c r="D36" s="161" t="s">
        <v>23</v>
      </c>
      <c r="E36" s="162">
        <v>2010</v>
      </c>
      <c r="F36" s="162">
        <v>161</v>
      </c>
      <c r="G36" s="162">
        <v>161001</v>
      </c>
      <c r="H36" s="162" t="s">
        <v>24</v>
      </c>
      <c r="I36" s="162" t="s">
        <v>24</v>
      </c>
      <c r="J36" s="161" t="s">
        <v>67</v>
      </c>
      <c r="K36" s="162" t="s">
        <v>67</v>
      </c>
      <c r="L36" s="161" t="s">
        <v>27</v>
      </c>
      <c r="M36" s="163" t="s">
        <v>27</v>
      </c>
      <c r="N36" s="226">
        <f>ROUND(SUMIF(PhasesTable[CIP '#],ProjectsTable[[#This Row],[CIP '#]],PhasesTable[Lifetime Actual Thru FY 2016 (Unaudited)]),0)</f>
        <v>0</v>
      </c>
      <c r="O36" s="227">
        <f>ROUND(SUMIF(PhasesTable[CIP '#],ProjectsTable[[#This Row],[CIP '#]],PhasesTable[Projected Expenditures FY 2017]),0)</f>
        <v>290</v>
      </c>
      <c r="P36" s="228">
        <f>ROUND(SUMIF(PhasesTable[CIP '#],ProjectsTable[[#This Row],[CIP '#]],PhasesTable[Projected Expenditures FY 2018]),0)</f>
        <v>0</v>
      </c>
      <c r="Q36" s="229">
        <f>ROUND(SUMIF(PhasesTable[CIP '#],ProjectsTable[[#This Row],[CIP '#]],PhasesTable[Projected Expenditures FY 2019]),0)</f>
        <v>0</v>
      </c>
      <c r="R36" s="229">
        <f>ROUND(SUMIF(PhasesTable[CIP '#],ProjectsTable[[#This Row],[CIP '#]],PhasesTable[Projected Expenditures FY 2020]),0)</f>
        <v>0</v>
      </c>
      <c r="S36" s="229">
        <f>ROUND(SUMIF(PhasesTable[CIP '#],ProjectsTable[[#This Row],[CIP '#]],PhasesTable[Projected Expenditures FY 2021]),0)</f>
        <v>0</v>
      </c>
      <c r="T36" s="230">
        <f>ROUND(SUMIF(PhasesTable[CIP '#],ProjectsTable[[#This Row],[CIP '#]],PhasesTable[Projected Expenditures FY 2022]),0)</f>
        <v>0</v>
      </c>
      <c r="U36" s="227">
        <f>ROUND(SUMIF(PhasesTable[CIP '#],ProjectsTable[[#This Row],[CIP '#]],PhasesTable[Projected Expenditures FY 2023 &amp; Beyond]),0)</f>
        <v>0</v>
      </c>
      <c r="V36" s="231">
        <f>ROUND(SUMIF(PhasesTable[CIP '#],ProjectsTable[[#This Row],[CIP '#]],PhasesTable[2018-2022 CIP Total]),0)</f>
        <v>0</v>
      </c>
      <c r="W36" s="232">
        <f>ROUND(SUMIF(PhasesTable[CIP '#],ProjectsTable[[#This Row],[CIP '#]],PhasesTable[Project Total]),0)</f>
        <v>290</v>
      </c>
      <c r="X36" s="164" t="s">
        <v>28</v>
      </c>
    </row>
    <row r="37" spans="1:24" s="67" customFormat="1" ht="42.75" x14ac:dyDescent="0.45">
      <c r="A37" s="20">
        <v>83</v>
      </c>
      <c r="B37" s="165">
        <v>1235</v>
      </c>
      <c r="C37" s="166" t="s">
        <v>296</v>
      </c>
      <c r="D37" s="23" t="s">
        <v>23</v>
      </c>
      <c r="E37" s="55">
        <v>2011</v>
      </c>
      <c r="F37" s="55">
        <v>212</v>
      </c>
      <c r="G37" s="55">
        <v>212005</v>
      </c>
      <c r="H37" s="55" t="s">
        <v>119</v>
      </c>
      <c r="I37" s="55" t="s">
        <v>119</v>
      </c>
      <c r="J37" s="55" t="s">
        <v>72</v>
      </c>
      <c r="K37" s="55" t="s">
        <v>133</v>
      </c>
      <c r="L37" s="167" t="s">
        <v>27</v>
      </c>
      <c r="M37" s="168" t="s">
        <v>27</v>
      </c>
      <c r="N37" s="117">
        <f>ROUND(SUMIF(PhasesTable[CIP '#],ProjectsTable[[#This Row],[CIP '#]],PhasesTable[Lifetime Actual Thru FY 2016 (Unaudited)]),0)</f>
        <v>12125</v>
      </c>
      <c r="O37" s="117">
        <f>ROUND(SUMIF(PhasesTable[CIP '#],ProjectsTable[[#This Row],[CIP '#]],PhasesTable[Projected Expenditures FY 2017]),0)</f>
        <v>62</v>
      </c>
      <c r="P37" s="118">
        <f>ROUND(SUMIF(PhasesTable[CIP '#],ProjectsTable[[#This Row],[CIP '#]],PhasesTable[Projected Expenditures FY 2018]),0)</f>
        <v>0</v>
      </c>
      <c r="Q37" s="119">
        <f>ROUND(SUMIF(PhasesTable[CIP '#],ProjectsTable[[#This Row],[CIP '#]],PhasesTable[Projected Expenditures FY 2019]),0)</f>
        <v>0</v>
      </c>
      <c r="R37" s="119">
        <f>ROUND(SUMIF(PhasesTable[CIP '#],ProjectsTable[[#This Row],[CIP '#]],PhasesTable[Projected Expenditures FY 2020]),0)</f>
        <v>0</v>
      </c>
      <c r="S37" s="119">
        <f>ROUND(SUMIF(PhasesTable[CIP '#],ProjectsTable[[#This Row],[CIP '#]],PhasesTable[Projected Expenditures FY 2021]),0)</f>
        <v>0</v>
      </c>
      <c r="T37" s="120">
        <f>ROUND(SUMIF(PhasesTable[CIP '#],ProjectsTable[[#This Row],[CIP '#]],PhasesTable[Projected Expenditures FY 2022]),0)</f>
        <v>0</v>
      </c>
      <c r="U37" s="117">
        <f>ROUND(SUMIF(PhasesTable[CIP '#],ProjectsTable[[#This Row],[CIP '#]],PhasesTable[Projected Expenditures FY 2023 &amp; Beyond]),0)</f>
        <v>0</v>
      </c>
      <c r="V37" s="121">
        <f>ROUND(SUMIF(PhasesTable[CIP '#],ProjectsTable[[#This Row],[CIP '#]],PhasesTable[2018-2022 CIP Total]),0)</f>
        <v>0</v>
      </c>
      <c r="W37" s="122">
        <f>ROUND(SUMIF(PhasesTable[CIP '#],ProjectsTable[[#This Row],[CIP '#]],PhasesTable[Project Total]),0)</f>
        <v>12187</v>
      </c>
      <c r="X37" s="169" t="s">
        <v>41</v>
      </c>
    </row>
    <row r="38" spans="1:24" s="67" customFormat="1" ht="42.75" x14ac:dyDescent="0.45">
      <c r="A38" s="20">
        <v>100</v>
      </c>
      <c r="B38" s="165">
        <v>1237</v>
      </c>
      <c r="C38" s="177" t="s">
        <v>154</v>
      </c>
      <c r="D38" s="55" t="s">
        <v>23</v>
      </c>
      <c r="E38" s="55">
        <v>2011</v>
      </c>
      <c r="F38" s="55">
        <v>216</v>
      </c>
      <c r="G38" s="55">
        <v>216005</v>
      </c>
      <c r="H38" s="55" t="s">
        <v>119</v>
      </c>
      <c r="I38" s="55" t="s">
        <v>119</v>
      </c>
      <c r="J38" s="55" t="s">
        <v>72</v>
      </c>
      <c r="K38" s="55" t="s">
        <v>67</v>
      </c>
      <c r="L38" s="55" t="s">
        <v>27</v>
      </c>
      <c r="M38" s="55">
        <v>39</v>
      </c>
      <c r="N38" s="117">
        <f>ROUND(SUMIF(PhasesTable[CIP '#],ProjectsTable[[#This Row],[CIP '#]],PhasesTable[Lifetime Actual Thru FY 2016 (Unaudited)]),0)</f>
        <v>0</v>
      </c>
      <c r="O38" s="117">
        <f>ROUND(SUMIF(PhasesTable[CIP '#],ProjectsTable[[#This Row],[CIP '#]],PhasesTable[Projected Expenditures FY 2017]),0)</f>
        <v>0</v>
      </c>
      <c r="P38" s="118">
        <f>ROUND(SUMIF(PhasesTable[CIP '#],ProjectsTable[[#This Row],[CIP '#]],PhasesTable[Projected Expenditures FY 2018]),0)</f>
        <v>1500</v>
      </c>
      <c r="Q38" s="119">
        <f>ROUND(SUMIF(PhasesTable[CIP '#],ProjectsTable[[#This Row],[CIP '#]],PhasesTable[Projected Expenditures FY 2019]),0)</f>
        <v>6000</v>
      </c>
      <c r="R38" s="119">
        <f>ROUND(SUMIF(PhasesTable[CIP '#],ProjectsTable[[#This Row],[CIP '#]],PhasesTable[Projected Expenditures FY 2020]),0)</f>
        <v>5400</v>
      </c>
      <c r="S38" s="119">
        <f>ROUND(SUMIF(PhasesTable[CIP '#],ProjectsTable[[#This Row],[CIP '#]],PhasesTable[Projected Expenditures FY 2021]),0)</f>
        <v>0</v>
      </c>
      <c r="T38" s="120">
        <f>ROUND(SUMIF(PhasesTable[CIP '#],ProjectsTable[[#This Row],[CIP '#]],PhasesTable[Projected Expenditures FY 2022]),0)</f>
        <v>0</v>
      </c>
      <c r="U38" s="117">
        <f>ROUND(SUMIF(PhasesTable[CIP '#],ProjectsTable[[#This Row],[CIP '#]],PhasesTable[Projected Expenditures FY 2023 &amp; Beyond]),0)</f>
        <v>0</v>
      </c>
      <c r="V38" s="121">
        <f>ROUND(SUMIF(PhasesTable[CIP '#],ProjectsTable[[#This Row],[CIP '#]],PhasesTable[2018-2022 CIP Total]),0)</f>
        <v>12900</v>
      </c>
      <c r="W38" s="122">
        <f>ROUND(SUMIF(PhasesTable[CIP '#],ProjectsTable[[#This Row],[CIP '#]],PhasesTable[Project Total]),0)</f>
        <v>12900</v>
      </c>
      <c r="X38" s="169" t="s">
        <v>125</v>
      </c>
    </row>
    <row r="39" spans="1:24" s="67" customFormat="1" ht="28.5" x14ac:dyDescent="0.45">
      <c r="A39" s="20">
        <v>109</v>
      </c>
      <c r="B39" s="165">
        <v>1241</v>
      </c>
      <c r="C39" s="177" t="s">
        <v>164</v>
      </c>
      <c r="D39" s="55" t="s">
        <v>23</v>
      </c>
      <c r="E39" s="55">
        <v>2011</v>
      </c>
      <c r="F39" s="55">
        <v>232</v>
      </c>
      <c r="G39" s="55">
        <v>232001</v>
      </c>
      <c r="H39" s="55" t="s">
        <v>119</v>
      </c>
      <c r="I39" s="55" t="s">
        <v>119</v>
      </c>
      <c r="J39" s="55" t="s">
        <v>97</v>
      </c>
      <c r="K39" s="55" t="s">
        <v>165</v>
      </c>
      <c r="L39" s="55" t="s">
        <v>27</v>
      </c>
      <c r="M39" s="55" t="s">
        <v>27</v>
      </c>
      <c r="N39" s="117">
        <f>ROUND(SUMIF(PhasesTable[CIP '#],ProjectsTable[[#This Row],[CIP '#]],PhasesTable[Lifetime Actual Thru FY 2016 (Unaudited)]),0)</f>
        <v>128</v>
      </c>
      <c r="O39" s="117">
        <f>ROUND(SUMIF(PhasesTable[CIP '#],ProjectsTable[[#This Row],[CIP '#]],PhasesTable[Projected Expenditures FY 2017]),0)</f>
        <v>472</v>
      </c>
      <c r="P39" s="118">
        <f>ROUND(SUMIF(PhasesTable[CIP '#],ProjectsTable[[#This Row],[CIP '#]],PhasesTable[Projected Expenditures FY 2018]),0)</f>
        <v>2100</v>
      </c>
      <c r="Q39" s="119">
        <f>ROUND(SUMIF(PhasesTable[CIP '#],ProjectsTable[[#This Row],[CIP '#]],PhasesTable[Projected Expenditures FY 2019]),0)</f>
        <v>14350</v>
      </c>
      <c r="R39" s="119">
        <f>ROUND(SUMIF(PhasesTable[CIP '#],ProjectsTable[[#This Row],[CIP '#]],PhasesTable[Projected Expenditures FY 2020]),0)</f>
        <v>15350</v>
      </c>
      <c r="S39" s="119">
        <f>ROUND(SUMIF(PhasesTable[CIP '#],ProjectsTable[[#This Row],[CIP '#]],PhasesTable[Projected Expenditures FY 2021]),0)</f>
        <v>0</v>
      </c>
      <c r="T39" s="120">
        <f>ROUND(SUMIF(PhasesTable[CIP '#],ProjectsTable[[#This Row],[CIP '#]],PhasesTable[Projected Expenditures FY 2022]),0)</f>
        <v>0</v>
      </c>
      <c r="U39" s="117">
        <f>ROUND(SUMIF(PhasesTable[CIP '#],ProjectsTable[[#This Row],[CIP '#]],PhasesTable[Projected Expenditures FY 2023 &amp; Beyond]),0)</f>
        <v>0</v>
      </c>
      <c r="V39" s="121">
        <f>ROUND(SUMIF(PhasesTable[CIP '#],ProjectsTable[[#This Row],[CIP '#]],PhasesTable[2018-2022 CIP Total]),0)</f>
        <v>31800</v>
      </c>
      <c r="W39" s="122">
        <f>ROUND(SUMIF(PhasesTable[CIP '#],ProjectsTable[[#This Row],[CIP '#]],PhasesTable[Project Total]),0)</f>
        <v>32400</v>
      </c>
      <c r="X39" s="169" t="s">
        <v>51</v>
      </c>
    </row>
    <row r="40" spans="1:24" s="18" customFormat="1" ht="28.5" x14ac:dyDescent="0.45">
      <c r="A40" s="20">
        <v>88</v>
      </c>
      <c r="B40" s="165">
        <v>1253</v>
      </c>
      <c r="C40" s="166" t="s">
        <v>297</v>
      </c>
      <c r="D40" s="23" t="s">
        <v>23</v>
      </c>
      <c r="E40" s="55">
        <v>2012</v>
      </c>
      <c r="F40" s="55">
        <v>213</v>
      </c>
      <c r="G40" s="55">
        <v>213003</v>
      </c>
      <c r="H40" s="55" t="s">
        <v>119</v>
      </c>
      <c r="I40" s="55" t="s">
        <v>119</v>
      </c>
      <c r="J40" s="55" t="s">
        <v>72</v>
      </c>
      <c r="K40" s="55" t="s">
        <v>140</v>
      </c>
      <c r="L40" s="167" t="s">
        <v>27</v>
      </c>
      <c r="M40" s="168" t="s">
        <v>27</v>
      </c>
      <c r="N40" s="117">
        <f>ROUND(SUMIF(PhasesTable[CIP '#],ProjectsTable[[#This Row],[CIP '#]],PhasesTable[Lifetime Actual Thru FY 2016 (Unaudited)]),0)</f>
        <v>33043</v>
      </c>
      <c r="O40" s="117">
        <f>ROUND(SUMIF(PhasesTable[CIP '#],ProjectsTable[[#This Row],[CIP '#]],PhasesTable[Projected Expenditures FY 2017]),0)</f>
        <v>3000</v>
      </c>
      <c r="P40" s="118">
        <f>ROUND(SUMIF(PhasesTable[CIP '#],ProjectsTable[[#This Row],[CIP '#]],PhasesTable[Projected Expenditures FY 2018]),0)</f>
        <v>0</v>
      </c>
      <c r="Q40" s="119">
        <f>ROUND(SUMIF(PhasesTable[CIP '#],ProjectsTable[[#This Row],[CIP '#]],PhasesTable[Projected Expenditures FY 2019]),0)</f>
        <v>0</v>
      </c>
      <c r="R40" s="119">
        <f>ROUND(SUMIF(PhasesTable[CIP '#],ProjectsTable[[#This Row],[CIP '#]],PhasesTable[Projected Expenditures FY 2020]),0)</f>
        <v>0</v>
      </c>
      <c r="S40" s="119">
        <f>ROUND(SUMIF(PhasesTable[CIP '#],ProjectsTable[[#This Row],[CIP '#]],PhasesTable[Projected Expenditures FY 2021]),0)</f>
        <v>0</v>
      </c>
      <c r="T40" s="120">
        <f>ROUND(SUMIF(PhasesTable[CIP '#],ProjectsTable[[#This Row],[CIP '#]],PhasesTable[Projected Expenditures FY 2022]),0)</f>
        <v>0</v>
      </c>
      <c r="U40" s="117">
        <f>ROUND(SUMIF(PhasesTable[CIP '#],ProjectsTable[[#This Row],[CIP '#]],PhasesTable[Projected Expenditures FY 2023 &amp; Beyond]),0)</f>
        <v>0</v>
      </c>
      <c r="V40" s="121">
        <f>ROUND(SUMIF(PhasesTable[CIP '#],ProjectsTable[[#This Row],[CIP '#]],PhasesTable[2018-2022 CIP Total]),0)</f>
        <v>0</v>
      </c>
      <c r="W40" s="122">
        <f>ROUND(SUMIF(PhasesTable[CIP '#],ProjectsTable[[#This Row],[CIP '#]],PhasesTable[Project Total]),0)</f>
        <v>36043</v>
      </c>
      <c r="X40" s="183" t="s">
        <v>144</v>
      </c>
    </row>
    <row r="41" spans="1:24" s="67" customFormat="1" ht="28.5" x14ac:dyDescent="0.45">
      <c r="A41" s="20">
        <v>89</v>
      </c>
      <c r="B41" s="165">
        <v>1254</v>
      </c>
      <c r="C41" s="166" t="s">
        <v>298</v>
      </c>
      <c r="D41" s="23" t="s">
        <v>23</v>
      </c>
      <c r="E41" s="55">
        <v>2012</v>
      </c>
      <c r="F41" s="55">
        <v>213</v>
      </c>
      <c r="G41" s="55">
        <v>213004</v>
      </c>
      <c r="H41" s="55" t="s">
        <v>119</v>
      </c>
      <c r="I41" s="55" t="s">
        <v>119</v>
      </c>
      <c r="J41" s="55" t="s">
        <v>72</v>
      </c>
      <c r="K41" s="55" t="s">
        <v>140</v>
      </c>
      <c r="L41" s="167" t="s">
        <v>27</v>
      </c>
      <c r="M41" s="168" t="s">
        <v>27</v>
      </c>
      <c r="N41" s="117">
        <f>ROUND(SUMIF(PhasesTable[CIP '#],ProjectsTable[[#This Row],[CIP '#]],PhasesTable[Lifetime Actual Thru FY 2016 (Unaudited)]),0)</f>
        <v>134191</v>
      </c>
      <c r="O41" s="117">
        <f>ROUND(SUMIF(PhasesTable[CIP '#],ProjectsTable[[#This Row],[CIP '#]],PhasesTable[Projected Expenditures FY 2017]),0)</f>
        <v>1691</v>
      </c>
      <c r="P41" s="118">
        <f>ROUND(SUMIF(PhasesTable[CIP '#],ProjectsTable[[#This Row],[CIP '#]],PhasesTable[Projected Expenditures FY 2018]),0)</f>
        <v>60</v>
      </c>
      <c r="Q41" s="119">
        <f>ROUND(SUMIF(PhasesTable[CIP '#],ProjectsTable[[#This Row],[CIP '#]],PhasesTable[Projected Expenditures FY 2019]),0)</f>
        <v>26</v>
      </c>
      <c r="R41" s="119">
        <f>ROUND(SUMIF(PhasesTable[CIP '#],ProjectsTable[[#This Row],[CIP '#]],PhasesTable[Projected Expenditures FY 2020]),0)</f>
        <v>0</v>
      </c>
      <c r="S41" s="119">
        <f>ROUND(SUMIF(PhasesTable[CIP '#],ProjectsTable[[#This Row],[CIP '#]],PhasesTable[Projected Expenditures FY 2021]),0)</f>
        <v>0</v>
      </c>
      <c r="T41" s="120">
        <f>ROUND(SUMIF(PhasesTable[CIP '#],ProjectsTable[[#This Row],[CIP '#]],PhasesTable[Projected Expenditures FY 2022]),0)</f>
        <v>0</v>
      </c>
      <c r="U41" s="117">
        <f>ROUND(SUMIF(PhasesTable[CIP '#],ProjectsTable[[#This Row],[CIP '#]],PhasesTable[Projected Expenditures FY 2023 &amp; Beyond]),0)</f>
        <v>0</v>
      </c>
      <c r="V41" s="121">
        <f>ROUND(SUMIF(PhasesTable[CIP '#],ProjectsTable[[#This Row],[CIP '#]],PhasesTable[2018-2022 CIP Total]),0)</f>
        <v>86</v>
      </c>
      <c r="W41" s="122">
        <f>ROUND(SUMIF(PhasesTable[CIP '#],ProjectsTable[[#This Row],[CIP '#]],PhasesTable[Project Total]),0)</f>
        <v>135968</v>
      </c>
      <c r="X41" s="183" t="s">
        <v>145</v>
      </c>
    </row>
    <row r="42" spans="1:24" s="67" customFormat="1" ht="28.5" x14ac:dyDescent="0.45">
      <c r="A42" s="158">
        <v>67</v>
      </c>
      <c r="B42" s="159">
        <v>1256</v>
      </c>
      <c r="C42" s="160" t="s">
        <v>115</v>
      </c>
      <c r="D42" s="161" t="s">
        <v>116</v>
      </c>
      <c r="E42" s="162">
        <v>2012</v>
      </c>
      <c r="F42" s="162">
        <v>1701</v>
      </c>
      <c r="G42" s="162">
        <v>170100</v>
      </c>
      <c r="H42" s="162" t="s">
        <v>24</v>
      </c>
      <c r="I42" s="162" t="s">
        <v>24</v>
      </c>
      <c r="J42" s="162" t="s">
        <v>323</v>
      </c>
      <c r="K42" s="162" t="s">
        <v>323</v>
      </c>
      <c r="L42" s="161" t="s">
        <v>27</v>
      </c>
      <c r="M42" s="163">
        <v>64.399999999999991</v>
      </c>
      <c r="N42" s="226">
        <f>ROUND(SUMIF(PhasesTable[CIP '#],ProjectsTable[[#This Row],[CIP '#]],PhasesTable[Lifetime Actual Thru FY 2016 (Unaudited)]),0)</f>
        <v>0</v>
      </c>
      <c r="O42" s="227">
        <f>ROUND(SUMIF(PhasesTable[CIP '#],ProjectsTable[[#This Row],[CIP '#]],PhasesTable[Projected Expenditures FY 2017]),0)</f>
        <v>12645</v>
      </c>
      <c r="P42" s="228">
        <f>ROUND(SUMIF(PhasesTable[CIP '#],ProjectsTable[[#This Row],[CIP '#]],PhasesTable[Projected Expenditures FY 2018]),0)</f>
        <v>19650</v>
      </c>
      <c r="Q42" s="229">
        <f>ROUND(SUMIF(PhasesTable[CIP '#],ProjectsTable[[#This Row],[CIP '#]],PhasesTable[Projected Expenditures FY 2019]),0)</f>
        <v>20000</v>
      </c>
      <c r="R42" s="229">
        <f>ROUND(SUMIF(PhasesTable[CIP '#],ProjectsTable[[#This Row],[CIP '#]],PhasesTable[Projected Expenditures FY 2020]),0)</f>
        <v>20000</v>
      </c>
      <c r="S42" s="229">
        <f>ROUND(SUMIF(PhasesTable[CIP '#],ProjectsTable[[#This Row],[CIP '#]],PhasesTable[Projected Expenditures FY 2021]),0)</f>
        <v>10000</v>
      </c>
      <c r="T42" s="230">
        <f>ROUND(SUMIF(PhasesTable[CIP '#],ProjectsTable[[#This Row],[CIP '#]],PhasesTable[Projected Expenditures FY 2022]),0)</f>
        <v>10000</v>
      </c>
      <c r="U42" s="227">
        <f>ROUND(SUMIF(PhasesTable[CIP '#],ProjectsTable[[#This Row],[CIP '#]],PhasesTable[Projected Expenditures FY 2023 &amp; Beyond]),0)</f>
        <v>0</v>
      </c>
      <c r="V42" s="231">
        <f>ROUND(SUMIF(PhasesTable[CIP '#],ProjectsTable[[#This Row],[CIP '#]],PhasesTable[2018-2022 CIP Total]),0)</f>
        <v>79650</v>
      </c>
      <c r="W42" s="232">
        <f>ROUND(SUMIF(PhasesTable[CIP '#],ProjectsTable[[#This Row],[CIP '#]],PhasesTable[Project Total]),0)</f>
        <v>92295</v>
      </c>
      <c r="X42" s="164" t="s">
        <v>28</v>
      </c>
    </row>
    <row r="43" spans="1:24" s="67" customFormat="1" ht="57" x14ac:dyDescent="0.45">
      <c r="A43" s="20">
        <v>117</v>
      </c>
      <c r="B43" s="165">
        <v>1257</v>
      </c>
      <c r="C43" s="166" t="s">
        <v>173</v>
      </c>
      <c r="D43" s="23" t="s">
        <v>116</v>
      </c>
      <c r="E43" s="55">
        <v>2012</v>
      </c>
      <c r="F43" s="55">
        <v>2601</v>
      </c>
      <c r="G43" s="55">
        <v>260100</v>
      </c>
      <c r="H43" s="55" t="s">
        <v>119</v>
      </c>
      <c r="I43" s="55" t="s">
        <v>119</v>
      </c>
      <c r="J43" s="55" t="s">
        <v>323</v>
      </c>
      <c r="K43" s="55" t="s">
        <v>323</v>
      </c>
      <c r="L43" s="167" t="s">
        <v>27</v>
      </c>
      <c r="M43" s="168" t="s">
        <v>27</v>
      </c>
      <c r="N43" s="117">
        <f>ROUND(SUMIF(PhasesTable[CIP '#],ProjectsTable[[#This Row],[CIP '#]],PhasesTable[Lifetime Actual Thru FY 2016 (Unaudited)]),0)</f>
        <v>0</v>
      </c>
      <c r="O43" s="117">
        <f>ROUND(SUMIF(PhasesTable[CIP '#],ProjectsTable[[#This Row],[CIP '#]],PhasesTable[Projected Expenditures FY 2017]),0)</f>
        <v>5587</v>
      </c>
      <c r="P43" s="118">
        <f>ROUND(SUMIF(PhasesTable[CIP '#],ProjectsTable[[#This Row],[CIP '#]],PhasesTable[Projected Expenditures FY 2018]),0)</f>
        <v>12000</v>
      </c>
      <c r="Q43" s="119">
        <f>ROUND(SUMIF(PhasesTable[CIP '#],ProjectsTable[[#This Row],[CIP '#]],PhasesTable[Projected Expenditures FY 2019]),0)</f>
        <v>12000</v>
      </c>
      <c r="R43" s="119">
        <f>ROUND(SUMIF(PhasesTable[CIP '#],ProjectsTable[[#This Row],[CIP '#]],PhasesTable[Projected Expenditures FY 2020]),0)</f>
        <v>15000</v>
      </c>
      <c r="S43" s="119">
        <f>ROUND(SUMIF(PhasesTable[CIP '#],ProjectsTable[[#This Row],[CIP '#]],PhasesTable[Projected Expenditures FY 2021]),0)</f>
        <v>15000</v>
      </c>
      <c r="T43" s="120">
        <f>ROUND(SUMIF(PhasesTable[CIP '#],ProjectsTable[[#This Row],[CIP '#]],PhasesTable[Projected Expenditures FY 2022]),0)</f>
        <v>12000</v>
      </c>
      <c r="U43" s="117">
        <f>ROUND(SUMIF(PhasesTable[CIP '#],ProjectsTable[[#This Row],[CIP '#]],PhasesTable[Projected Expenditures FY 2023 &amp; Beyond]),0)</f>
        <v>0</v>
      </c>
      <c r="V43" s="121">
        <f>ROUND(SUMIF(PhasesTable[CIP '#],ProjectsTable[[#This Row],[CIP '#]],PhasesTable[2018-2022 CIP Total]),0)</f>
        <v>66000</v>
      </c>
      <c r="W43" s="122">
        <f>ROUND(SUMIF(PhasesTable[CIP '#],ProjectsTable[[#This Row],[CIP '#]],PhasesTable[Project Total]),0)</f>
        <v>71587</v>
      </c>
      <c r="X43" s="169" t="s">
        <v>174</v>
      </c>
    </row>
    <row r="44" spans="1:24" s="50" customFormat="1" ht="28.5" x14ac:dyDescent="0.45">
      <c r="A44" s="20">
        <v>103</v>
      </c>
      <c r="B44" s="165">
        <v>1263</v>
      </c>
      <c r="C44" s="166" t="s">
        <v>157</v>
      </c>
      <c r="D44" s="23" t="s">
        <v>70</v>
      </c>
      <c r="E44" s="55">
        <v>2013</v>
      </c>
      <c r="F44" s="55">
        <v>2602</v>
      </c>
      <c r="G44" s="55">
        <v>260200</v>
      </c>
      <c r="H44" s="55" t="s">
        <v>119</v>
      </c>
      <c r="I44" s="55" t="s">
        <v>119</v>
      </c>
      <c r="J44" s="55" t="s">
        <v>323</v>
      </c>
      <c r="K44" s="55" t="s">
        <v>323</v>
      </c>
      <c r="L44" s="168" t="s">
        <v>27</v>
      </c>
      <c r="M44" s="168" t="s">
        <v>27</v>
      </c>
      <c r="N44" s="117">
        <f>ROUND(SUMIF(PhasesTable[CIP '#],ProjectsTable[[#This Row],[CIP '#]],PhasesTable[Lifetime Actual Thru FY 2016 (Unaudited)]),0)</f>
        <v>0</v>
      </c>
      <c r="O44" s="117">
        <f>ROUND(SUMIF(PhasesTable[CIP '#],ProjectsTable[[#This Row],[CIP '#]],PhasesTable[Projected Expenditures FY 2017]),0)</f>
        <v>2612</v>
      </c>
      <c r="P44" s="118">
        <f>ROUND(SUMIF(PhasesTable[CIP '#],ProjectsTable[[#This Row],[CIP '#]],PhasesTable[Projected Expenditures FY 2018]),0)</f>
        <v>8000</v>
      </c>
      <c r="Q44" s="119">
        <f>ROUND(SUMIF(PhasesTable[CIP '#],ProjectsTable[[#This Row],[CIP '#]],PhasesTable[Projected Expenditures FY 2019]),0)</f>
        <v>8000</v>
      </c>
      <c r="R44" s="119">
        <f>ROUND(SUMIF(PhasesTable[CIP '#],ProjectsTable[[#This Row],[CIP '#]],PhasesTable[Projected Expenditures FY 2020]),0)</f>
        <v>20000</v>
      </c>
      <c r="S44" s="119">
        <f>ROUND(SUMIF(PhasesTable[CIP '#],ProjectsTable[[#This Row],[CIP '#]],PhasesTable[Projected Expenditures FY 2021]),0)</f>
        <v>20000</v>
      </c>
      <c r="T44" s="120">
        <f>ROUND(SUMIF(PhasesTable[CIP '#],ProjectsTable[[#This Row],[CIP '#]],PhasesTable[Projected Expenditures FY 2022]),0)</f>
        <v>20000</v>
      </c>
      <c r="U44" s="117">
        <f>ROUND(SUMIF(PhasesTable[CIP '#],ProjectsTable[[#This Row],[CIP '#]],PhasesTable[Projected Expenditures FY 2023 &amp; Beyond]),0)</f>
        <v>0</v>
      </c>
      <c r="V44" s="121">
        <f>ROUND(SUMIF(PhasesTable[CIP '#],ProjectsTable[[#This Row],[CIP '#]],PhasesTable[2018-2022 CIP Total]),0)</f>
        <v>76000</v>
      </c>
      <c r="W44" s="122">
        <f>ROUND(SUMIF(PhasesTable[CIP '#],ProjectsTable[[#This Row],[CIP '#]],PhasesTable[Project Total]),0)</f>
        <v>78612</v>
      </c>
      <c r="X44" s="169" t="s">
        <v>85</v>
      </c>
    </row>
    <row r="45" spans="1:24" s="50" customFormat="1" ht="42.75" x14ac:dyDescent="0.45">
      <c r="A45" s="158">
        <v>16</v>
      </c>
      <c r="B45" s="159">
        <v>1264</v>
      </c>
      <c r="C45" s="160" t="s">
        <v>49</v>
      </c>
      <c r="D45" s="161" t="s">
        <v>23</v>
      </c>
      <c r="E45" s="162">
        <v>2014</v>
      </c>
      <c r="F45" s="162">
        <v>114</v>
      </c>
      <c r="G45" s="170">
        <v>114003</v>
      </c>
      <c r="H45" s="162" t="s">
        <v>24</v>
      </c>
      <c r="I45" s="162" t="s">
        <v>24</v>
      </c>
      <c r="J45" s="161" t="s">
        <v>25</v>
      </c>
      <c r="K45" s="161" t="s">
        <v>46</v>
      </c>
      <c r="L45" s="161">
        <v>56.2</v>
      </c>
      <c r="M45" s="163">
        <v>41.4</v>
      </c>
      <c r="N45" s="226">
        <f>ROUND(SUMIF(PhasesTable[CIP '#],ProjectsTable[[#This Row],[CIP '#]],PhasesTable[Lifetime Actual Thru FY 2016 (Unaudited)]),0)</f>
        <v>0</v>
      </c>
      <c r="O45" s="227">
        <f>ROUND(SUMIF(PhasesTable[CIP '#],ProjectsTable[[#This Row],[CIP '#]],PhasesTable[Projected Expenditures FY 2017]),0)</f>
        <v>1000</v>
      </c>
      <c r="P45" s="228">
        <f>ROUND(SUMIF(PhasesTable[CIP '#],ProjectsTable[[#This Row],[CIP '#]],PhasesTable[Projected Expenditures FY 2018]),0)</f>
        <v>8800</v>
      </c>
      <c r="Q45" s="229">
        <f>ROUND(SUMIF(PhasesTable[CIP '#],ProjectsTable[[#This Row],[CIP '#]],PhasesTable[Projected Expenditures FY 2019]),0)</f>
        <v>2100</v>
      </c>
      <c r="R45" s="229">
        <f>ROUND(SUMIF(PhasesTable[CIP '#],ProjectsTable[[#This Row],[CIP '#]],PhasesTable[Projected Expenditures FY 2020]),0)</f>
        <v>1000</v>
      </c>
      <c r="S45" s="229">
        <f>ROUND(SUMIF(PhasesTable[CIP '#],ProjectsTable[[#This Row],[CIP '#]],PhasesTable[Projected Expenditures FY 2021]),0)</f>
        <v>0</v>
      </c>
      <c r="T45" s="230">
        <f>ROUND(SUMIF(PhasesTable[CIP '#],ProjectsTable[[#This Row],[CIP '#]],PhasesTable[Projected Expenditures FY 2022]),0)</f>
        <v>0</v>
      </c>
      <c r="U45" s="227">
        <f>ROUND(SUMIF(PhasesTable[CIP '#],ProjectsTable[[#This Row],[CIP '#]],PhasesTable[Projected Expenditures FY 2023 &amp; Beyond]),0)</f>
        <v>0</v>
      </c>
      <c r="V45" s="231">
        <f>ROUND(SUMIF(PhasesTable[CIP '#],ProjectsTable[[#This Row],[CIP '#]],PhasesTable[2018-2022 CIP Total]),0)</f>
        <v>11900</v>
      </c>
      <c r="W45" s="232">
        <f>ROUND(SUMIF(PhasesTable[CIP '#],ProjectsTable[[#This Row],[CIP '#]],PhasesTable[Project Total]),0)</f>
        <v>12900</v>
      </c>
      <c r="X45" s="164" t="s">
        <v>28</v>
      </c>
    </row>
    <row r="46" spans="1:24" s="50" customFormat="1" ht="42.75" x14ac:dyDescent="0.45">
      <c r="A46" s="158">
        <v>17</v>
      </c>
      <c r="B46" s="159">
        <v>1265</v>
      </c>
      <c r="C46" s="160" t="s">
        <v>50</v>
      </c>
      <c r="D46" s="161" t="s">
        <v>23</v>
      </c>
      <c r="E46" s="162">
        <v>2014</v>
      </c>
      <c r="F46" s="162">
        <v>114</v>
      </c>
      <c r="G46" s="162">
        <v>114004</v>
      </c>
      <c r="H46" s="162" t="s">
        <v>24</v>
      </c>
      <c r="I46" s="162" t="s">
        <v>24</v>
      </c>
      <c r="J46" s="161" t="s">
        <v>25</v>
      </c>
      <c r="K46" s="161" t="s">
        <v>46</v>
      </c>
      <c r="L46" s="161" t="s">
        <v>27</v>
      </c>
      <c r="M46" s="163" t="s">
        <v>27</v>
      </c>
      <c r="N46" s="226">
        <f>ROUND(SUMIF(PhasesTable[CIP '#],ProjectsTable[[#This Row],[CIP '#]],PhasesTable[Lifetime Actual Thru FY 2016 (Unaudited)]),0)</f>
        <v>398</v>
      </c>
      <c r="O46" s="227">
        <f>ROUND(SUMIF(PhasesTable[CIP '#],ProjectsTable[[#This Row],[CIP '#]],PhasesTable[Projected Expenditures FY 2017]),0)</f>
        <v>600</v>
      </c>
      <c r="P46" s="228">
        <f>ROUND(SUMIF(PhasesTable[CIP '#],ProjectsTable[[#This Row],[CIP '#]],PhasesTable[Projected Expenditures FY 2018]),0)</f>
        <v>0</v>
      </c>
      <c r="Q46" s="229">
        <f>ROUND(SUMIF(PhasesTable[CIP '#],ProjectsTable[[#This Row],[CIP '#]],PhasesTable[Projected Expenditures FY 2019]),0)</f>
        <v>0</v>
      </c>
      <c r="R46" s="229">
        <f>ROUND(SUMIF(PhasesTable[CIP '#],ProjectsTable[[#This Row],[CIP '#]],PhasesTable[Projected Expenditures FY 2020]),0)</f>
        <v>0</v>
      </c>
      <c r="S46" s="229">
        <f>ROUND(SUMIF(PhasesTable[CIP '#],ProjectsTable[[#This Row],[CIP '#]],PhasesTable[Projected Expenditures FY 2021]),0)</f>
        <v>0</v>
      </c>
      <c r="T46" s="230">
        <f>ROUND(SUMIF(PhasesTable[CIP '#],ProjectsTable[[#This Row],[CIP '#]],PhasesTable[Projected Expenditures FY 2022]),0)</f>
        <v>0</v>
      </c>
      <c r="U46" s="227">
        <f>ROUND(SUMIF(PhasesTable[CIP '#],ProjectsTable[[#This Row],[CIP '#]],PhasesTable[Projected Expenditures FY 2023 &amp; Beyond]),0)</f>
        <v>0</v>
      </c>
      <c r="V46" s="231">
        <f>ROUND(SUMIF(PhasesTable[CIP '#],ProjectsTable[[#This Row],[CIP '#]],PhasesTable[2018-2022 CIP Total]),0)</f>
        <v>0</v>
      </c>
      <c r="W46" s="232">
        <f>ROUND(SUMIF(PhasesTable[CIP '#],ProjectsTable[[#This Row],[CIP '#]],PhasesTable[Project Total]),0)</f>
        <v>998</v>
      </c>
      <c r="X46" s="164" t="s">
        <v>51</v>
      </c>
    </row>
    <row r="47" spans="1:24" s="50" customFormat="1" ht="42.75" x14ac:dyDescent="0.45">
      <c r="A47" s="158">
        <v>18</v>
      </c>
      <c r="B47" s="159">
        <v>1266</v>
      </c>
      <c r="C47" s="160" t="s">
        <v>52</v>
      </c>
      <c r="D47" s="161" t="s">
        <v>23</v>
      </c>
      <c r="E47" s="162">
        <v>2014</v>
      </c>
      <c r="F47" s="162">
        <v>114</v>
      </c>
      <c r="G47" s="170">
        <v>114005</v>
      </c>
      <c r="H47" s="162" t="s">
        <v>24</v>
      </c>
      <c r="I47" s="162" t="s">
        <v>24</v>
      </c>
      <c r="J47" s="161" t="s">
        <v>25</v>
      </c>
      <c r="K47" s="161" t="s">
        <v>46</v>
      </c>
      <c r="L47" s="161">
        <v>21.4</v>
      </c>
      <c r="M47" s="163">
        <v>35.4</v>
      </c>
      <c r="N47" s="226">
        <f>ROUND(SUMIF(PhasesTable[CIP '#],ProjectsTable[[#This Row],[CIP '#]],PhasesTable[Lifetime Actual Thru FY 2016 (Unaudited)]),0)</f>
        <v>0</v>
      </c>
      <c r="O47" s="227">
        <f>ROUND(SUMIF(PhasesTable[CIP '#],ProjectsTable[[#This Row],[CIP '#]],PhasesTable[Projected Expenditures FY 2017]),0)</f>
        <v>0</v>
      </c>
      <c r="P47" s="228">
        <f>ROUND(SUMIF(PhasesTable[CIP '#],ProjectsTable[[#This Row],[CIP '#]],PhasesTable[Projected Expenditures FY 2018]),0)</f>
        <v>0</v>
      </c>
      <c r="Q47" s="229">
        <f>ROUND(SUMIF(PhasesTable[CIP '#],ProjectsTable[[#This Row],[CIP '#]],PhasesTable[Projected Expenditures FY 2019]),0)</f>
        <v>300</v>
      </c>
      <c r="R47" s="229">
        <f>ROUND(SUMIF(PhasesTable[CIP '#],ProjectsTable[[#This Row],[CIP '#]],PhasesTable[Projected Expenditures FY 2020]),0)</f>
        <v>1700</v>
      </c>
      <c r="S47" s="229">
        <f>ROUND(SUMIF(PhasesTable[CIP '#],ProjectsTable[[#This Row],[CIP '#]],PhasesTable[Projected Expenditures FY 2021]),0)</f>
        <v>0</v>
      </c>
      <c r="T47" s="230">
        <f>ROUND(SUMIF(PhasesTable[CIP '#],ProjectsTable[[#This Row],[CIP '#]],PhasesTable[Projected Expenditures FY 2022]),0)</f>
        <v>0</v>
      </c>
      <c r="U47" s="227">
        <f>ROUND(SUMIF(PhasesTable[CIP '#],ProjectsTable[[#This Row],[CIP '#]],PhasesTable[Projected Expenditures FY 2023 &amp; Beyond]),0)</f>
        <v>0</v>
      </c>
      <c r="V47" s="231">
        <f>ROUND(SUMIF(PhasesTable[CIP '#],ProjectsTable[[#This Row],[CIP '#]],PhasesTable[2018-2022 CIP Total]),0)</f>
        <v>2000</v>
      </c>
      <c r="W47" s="232">
        <f>ROUND(SUMIF(PhasesTable[CIP '#],ProjectsTable[[#This Row],[CIP '#]],PhasesTable[Project Total]),0)</f>
        <v>2000</v>
      </c>
      <c r="X47" s="164" t="s">
        <v>28</v>
      </c>
    </row>
    <row r="48" spans="1:24" s="50" customFormat="1" ht="42.75" x14ac:dyDescent="0.45">
      <c r="A48" s="158">
        <v>19</v>
      </c>
      <c r="B48" s="159">
        <v>1267</v>
      </c>
      <c r="C48" s="160" t="s">
        <v>53</v>
      </c>
      <c r="D48" s="161" t="s">
        <v>23</v>
      </c>
      <c r="E48" s="162">
        <v>2014</v>
      </c>
      <c r="F48" s="162">
        <v>114</v>
      </c>
      <c r="G48" s="162">
        <v>114006</v>
      </c>
      <c r="H48" s="162" t="s">
        <v>24</v>
      </c>
      <c r="I48" s="162" t="s">
        <v>24</v>
      </c>
      <c r="J48" s="161" t="s">
        <v>25</v>
      </c>
      <c r="K48" s="161" t="s">
        <v>46</v>
      </c>
      <c r="L48" s="161">
        <v>72</v>
      </c>
      <c r="M48" s="163">
        <v>69.400000000000006</v>
      </c>
      <c r="N48" s="226">
        <f>ROUND(SUMIF(PhasesTable[CIP '#],ProjectsTable[[#This Row],[CIP '#]],PhasesTable[Lifetime Actual Thru FY 2016 (Unaudited)]),0)</f>
        <v>0</v>
      </c>
      <c r="O48" s="227">
        <f>ROUND(SUMIF(PhasesTable[CIP '#],ProjectsTable[[#This Row],[CIP '#]],PhasesTable[Projected Expenditures FY 2017]),0)</f>
        <v>100</v>
      </c>
      <c r="P48" s="228">
        <f>ROUND(SUMIF(PhasesTable[CIP '#],ProjectsTable[[#This Row],[CIP '#]],PhasesTable[Projected Expenditures FY 2018]),0)</f>
        <v>875</v>
      </c>
      <c r="Q48" s="229">
        <f>ROUND(SUMIF(PhasesTable[CIP '#],ProjectsTable[[#This Row],[CIP '#]],PhasesTable[Projected Expenditures FY 2019]),0)</f>
        <v>275</v>
      </c>
      <c r="R48" s="229">
        <f>ROUND(SUMIF(PhasesTable[CIP '#],ProjectsTable[[#This Row],[CIP '#]],PhasesTable[Projected Expenditures FY 2020]),0)</f>
        <v>0</v>
      </c>
      <c r="S48" s="229">
        <f>ROUND(SUMIF(PhasesTable[CIP '#],ProjectsTable[[#This Row],[CIP '#]],PhasesTable[Projected Expenditures FY 2021]),0)</f>
        <v>0</v>
      </c>
      <c r="T48" s="230">
        <f>ROUND(SUMIF(PhasesTable[CIP '#],ProjectsTable[[#This Row],[CIP '#]],PhasesTable[Projected Expenditures FY 2022]),0)</f>
        <v>0</v>
      </c>
      <c r="U48" s="227">
        <f>ROUND(SUMIF(PhasesTable[CIP '#],ProjectsTable[[#This Row],[CIP '#]],PhasesTable[Projected Expenditures FY 2023 &amp; Beyond]),0)</f>
        <v>0</v>
      </c>
      <c r="V48" s="231">
        <f>ROUND(SUMIF(PhasesTable[CIP '#],ProjectsTable[[#This Row],[CIP '#]],PhasesTable[2018-2022 CIP Total]),0)</f>
        <v>1150</v>
      </c>
      <c r="W48" s="232">
        <f>ROUND(SUMIF(PhasesTable[CIP '#],ProjectsTable[[#This Row],[CIP '#]],PhasesTable[Project Total]),0)</f>
        <v>1250</v>
      </c>
      <c r="X48" s="164" t="s">
        <v>28</v>
      </c>
    </row>
    <row r="49" spans="1:24" s="50" customFormat="1" ht="42.75" x14ac:dyDescent="0.45">
      <c r="A49" s="158">
        <v>20</v>
      </c>
      <c r="B49" s="159">
        <v>1268</v>
      </c>
      <c r="C49" s="160" t="s">
        <v>54</v>
      </c>
      <c r="D49" s="161" t="s">
        <v>23</v>
      </c>
      <c r="E49" s="162">
        <v>2014</v>
      </c>
      <c r="F49" s="162">
        <v>114</v>
      </c>
      <c r="G49" s="170">
        <v>114007</v>
      </c>
      <c r="H49" s="162" t="s">
        <v>24</v>
      </c>
      <c r="I49" s="162" t="s">
        <v>24</v>
      </c>
      <c r="J49" s="161" t="s">
        <v>25</v>
      </c>
      <c r="K49" s="161" t="s">
        <v>46</v>
      </c>
      <c r="L49" s="161">
        <v>67.599999999999994</v>
      </c>
      <c r="M49" s="163">
        <v>43.4</v>
      </c>
      <c r="N49" s="226">
        <f>ROUND(SUMIF(PhasesTable[CIP '#],ProjectsTable[[#This Row],[CIP '#]],PhasesTable[Lifetime Actual Thru FY 2016 (Unaudited)]),0)</f>
        <v>0</v>
      </c>
      <c r="O49" s="227">
        <f>ROUND(SUMIF(PhasesTable[CIP '#],ProjectsTable[[#This Row],[CIP '#]],PhasesTable[Projected Expenditures FY 2017]),0)</f>
        <v>0</v>
      </c>
      <c r="P49" s="228">
        <f>ROUND(SUMIF(PhasesTable[CIP '#],ProjectsTable[[#This Row],[CIP '#]],PhasesTable[Projected Expenditures FY 2018]),0)</f>
        <v>0</v>
      </c>
      <c r="Q49" s="229">
        <f>ROUND(SUMIF(PhasesTable[CIP '#],ProjectsTable[[#This Row],[CIP '#]],PhasesTable[Projected Expenditures FY 2019]),0)</f>
        <v>0</v>
      </c>
      <c r="R49" s="229">
        <f>ROUND(SUMIF(PhasesTable[CIP '#],ProjectsTable[[#This Row],[CIP '#]],PhasesTable[Projected Expenditures FY 2020]),0)</f>
        <v>900</v>
      </c>
      <c r="S49" s="229">
        <f>ROUND(SUMIF(PhasesTable[CIP '#],ProjectsTable[[#This Row],[CIP '#]],PhasesTable[Projected Expenditures FY 2021]),0)</f>
        <v>2000</v>
      </c>
      <c r="T49" s="230">
        <f>ROUND(SUMIF(PhasesTable[CIP '#],ProjectsTable[[#This Row],[CIP '#]],PhasesTable[Projected Expenditures FY 2022]),0)</f>
        <v>0</v>
      </c>
      <c r="U49" s="227">
        <f>ROUND(SUMIF(PhasesTable[CIP '#],ProjectsTable[[#This Row],[CIP '#]],PhasesTable[Projected Expenditures FY 2023 &amp; Beyond]),0)</f>
        <v>0</v>
      </c>
      <c r="V49" s="231">
        <f>ROUND(SUMIF(PhasesTable[CIP '#],ProjectsTable[[#This Row],[CIP '#]],PhasesTable[2018-2022 CIP Total]),0)</f>
        <v>2900</v>
      </c>
      <c r="W49" s="232">
        <f>ROUND(SUMIF(PhasesTable[CIP '#],ProjectsTable[[#This Row],[CIP '#]],PhasesTable[Project Total]),0)</f>
        <v>2900</v>
      </c>
      <c r="X49" s="164" t="s">
        <v>28</v>
      </c>
    </row>
    <row r="50" spans="1:24" s="67" customFormat="1" ht="42.75" x14ac:dyDescent="0.45">
      <c r="A50" s="158">
        <v>21</v>
      </c>
      <c r="B50" s="159">
        <v>1269</v>
      </c>
      <c r="C50" s="160" t="s">
        <v>55</v>
      </c>
      <c r="D50" s="161" t="s">
        <v>23</v>
      </c>
      <c r="E50" s="162">
        <v>2014</v>
      </c>
      <c r="F50" s="162">
        <v>114</v>
      </c>
      <c r="G50" s="162">
        <v>114008</v>
      </c>
      <c r="H50" s="162" t="s">
        <v>24</v>
      </c>
      <c r="I50" s="162" t="s">
        <v>24</v>
      </c>
      <c r="J50" s="161" t="s">
        <v>25</v>
      </c>
      <c r="K50" s="161" t="s">
        <v>46</v>
      </c>
      <c r="L50" s="161">
        <v>59.8</v>
      </c>
      <c r="M50" s="163">
        <v>47.599999999999994</v>
      </c>
      <c r="N50" s="226">
        <f>ROUND(SUMIF(PhasesTable[CIP '#],ProjectsTable[[#This Row],[CIP '#]],PhasesTable[Lifetime Actual Thru FY 2016 (Unaudited)]),0)</f>
        <v>0</v>
      </c>
      <c r="O50" s="227">
        <f>ROUND(SUMIF(PhasesTable[CIP '#],ProjectsTable[[#This Row],[CIP '#]],PhasesTable[Projected Expenditures FY 2017]),0)</f>
        <v>0</v>
      </c>
      <c r="P50" s="228">
        <f>ROUND(SUMIF(PhasesTable[CIP '#],ProjectsTable[[#This Row],[CIP '#]],PhasesTable[Projected Expenditures FY 2018]),0)</f>
        <v>1200</v>
      </c>
      <c r="Q50" s="229">
        <f>ROUND(SUMIF(PhasesTable[CIP '#],ProjectsTable[[#This Row],[CIP '#]],PhasesTable[Projected Expenditures FY 2019]),0)</f>
        <v>2000</v>
      </c>
      <c r="R50" s="229">
        <f>ROUND(SUMIF(PhasesTable[CIP '#],ProjectsTable[[#This Row],[CIP '#]],PhasesTable[Projected Expenditures FY 2020]),0)</f>
        <v>4000</v>
      </c>
      <c r="S50" s="229">
        <f>ROUND(SUMIF(PhasesTable[CIP '#],ProjectsTable[[#This Row],[CIP '#]],PhasesTable[Projected Expenditures FY 2021]),0)</f>
        <v>300</v>
      </c>
      <c r="T50" s="230">
        <f>ROUND(SUMIF(PhasesTable[CIP '#],ProjectsTable[[#This Row],[CIP '#]],PhasesTable[Projected Expenditures FY 2022]),0)</f>
        <v>0</v>
      </c>
      <c r="U50" s="227">
        <f>ROUND(SUMIF(PhasesTable[CIP '#],ProjectsTable[[#This Row],[CIP '#]],PhasesTable[Projected Expenditures FY 2023 &amp; Beyond]),0)</f>
        <v>0</v>
      </c>
      <c r="V50" s="231">
        <f>ROUND(SUMIF(PhasesTable[CIP '#],ProjectsTable[[#This Row],[CIP '#]],PhasesTable[2018-2022 CIP Total]),0)</f>
        <v>7500</v>
      </c>
      <c r="W50" s="232">
        <f>ROUND(SUMIF(PhasesTable[CIP '#],ProjectsTable[[#This Row],[CIP '#]],PhasesTable[Project Total]),0)</f>
        <v>7500</v>
      </c>
      <c r="X50" s="164" t="s">
        <v>28</v>
      </c>
    </row>
    <row r="51" spans="1:24" s="67" customFormat="1" ht="42.75" x14ac:dyDescent="0.45">
      <c r="A51" s="158">
        <v>55</v>
      </c>
      <c r="B51" s="159">
        <v>1270</v>
      </c>
      <c r="C51" s="160" t="s">
        <v>102</v>
      </c>
      <c r="D51" s="161" t="s">
        <v>23</v>
      </c>
      <c r="E51" s="162">
        <v>2014</v>
      </c>
      <c r="F51" s="162">
        <v>132</v>
      </c>
      <c r="G51" s="162">
        <v>132003</v>
      </c>
      <c r="H51" s="162" t="s">
        <v>24</v>
      </c>
      <c r="I51" s="162" t="s">
        <v>24</v>
      </c>
      <c r="J51" s="161" t="s">
        <v>97</v>
      </c>
      <c r="K51" s="161" t="s">
        <v>98</v>
      </c>
      <c r="L51" s="161">
        <v>76.2</v>
      </c>
      <c r="M51" s="163">
        <v>54.400000000000006</v>
      </c>
      <c r="N51" s="226">
        <f>ROUND(SUMIF(PhasesTable[CIP '#],ProjectsTable[[#This Row],[CIP '#]],PhasesTable[Lifetime Actual Thru FY 2016 (Unaudited)]),0)</f>
        <v>0</v>
      </c>
      <c r="O51" s="227">
        <f>ROUND(SUMIF(PhasesTable[CIP '#],ProjectsTable[[#This Row],[CIP '#]],PhasesTable[Projected Expenditures FY 2017]),0)</f>
        <v>0</v>
      </c>
      <c r="P51" s="228">
        <f>ROUND(SUMIF(PhasesTable[CIP '#],ProjectsTable[[#This Row],[CIP '#]],PhasesTable[Projected Expenditures FY 2018]),0)</f>
        <v>521</v>
      </c>
      <c r="Q51" s="229">
        <f>ROUND(SUMIF(PhasesTable[CIP '#],ProjectsTable[[#This Row],[CIP '#]],PhasesTable[Projected Expenditures FY 2019]),0)</f>
        <v>1000</v>
      </c>
      <c r="R51" s="229">
        <f>ROUND(SUMIF(PhasesTable[CIP '#],ProjectsTable[[#This Row],[CIP '#]],PhasesTable[Projected Expenditures FY 2020]),0)</f>
        <v>0</v>
      </c>
      <c r="S51" s="229">
        <f>ROUND(SUMIF(PhasesTable[CIP '#],ProjectsTable[[#This Row],[CIP '#]],PhasesTable[Projected Expenditures FY 2021]),0)</f>
        <v>0</v>
      </c>
      <c r="T51" s="230">
        <f>ROUND(SUMIF(PhasesTable[CIP '#],ProjectsTable[[#This Row],[CIP '#]],PhasesTable[Projected Expenditures FY 2022]),0)</f>
        <v>0</v>
      </c>
      <c r="U51" s="227">
        <f>ROUND(SUMIF(PhasesTable[CIP '#],ProjectsTable[[#This Row],[CIP '#]],PhasesTable[Projected Expenditures FY 2023 &amp; Beyond]),0)</f>
        <v>0</v>
      </c>
      <c r="V51" s="231">
        <f>ROUND(SUMIF(PhasesTable[CIP '#],ProjectsTable[[#This Row],[CIP '#]],PhasesTable[2018-2022 CIP Total]),0)</f>
        <v>1521</v>
      </c>
      <c r="W51" s="232">
        <f>ROUND(SUMIF(PhasesTable[CIP '#],ProjectsTable[[#This Row],[CIP '#]],PhasesTable[Project Total]),0)</f>
        <v>1521</v>
      </c>
      <c r="X51" s="164" t="s">
        <v>28</v>
      </c>
    </row>
    <row r="52" spans="1:24" s="50" customFormat="1" ht="42.75" x14ac:dyDescent="0.45">
      <c r="A52" s="158">
        <v>56</v>
      </c>
      <c r="B52" s="159">
        <v>1271</v>
      </c>
      <c r="C52" s="160" t="s">
        <v>103</v>
      </c>
      <c r="D52" s="161" t="s">
        <v>23</v>
      </c>
      <c r="E52" s="162">
        <v>2014</v>
      </c>
      <c r="F52" s="162">
        <v>132</v>
      </c>
      <c r="G52" s="162">
        <v>132004</v>
      </c>
      <c r="H52" s="162" t="s">
        <v>24</v>
      </c>
      <c r="I52" s="162" t="s">
        <v>24</v>
      </c>
      <c r="J52" s="161" t="s">
        <v>97</v>
      </c>
      <c r="K52" s="161" t="s">
        <v>98</v>
      </c>
      <c r="L52" s="161">
        <v>37.200000000000003</v>
      </c>
      <c r="M52" s="163">
        <v>20.6</v>
      </c>
      <c r="N52" s="226">
        <f>ROUND(SUMIF(PhasesTable[CIP '#],ProjectsTable[[#This Row],[CIP '#]],PhasesTable[Lifetime Actual Thru FY 2016 (Unaudited)]),0)</f>
        <v>0</v>
      </c>
      <c r="O52" s="227">
        <f>ROUND(SUMIF(PhasesTable[CIP '#],ProjectsTable[[#This Row],[CIP '#]],PhasesTable[Projected Expenditures FY 2017]),0)</f>
        <v>200</v>
      </c>
      <c r="P52" s="228">
        <f>ROUND(SUMIF(PhasesTable[CIP '#],ProjectsTable[[#This Row],[CIP '#]],PhasesTable[Projected Expenditures FY 2018]),0)</f>
        <v>500</v>
      </c>
      <c r="Q52" s="229">
        <f>ROUND(SUMIF(PhasesTable[CIP '#],ProjectsTable[[#This Row],[CIP '#]],PhasesTable[Projected Expenditures FY 2019]),0)</f>
        <v>2000</v>
      </c>
      <c r="R52" s="229">
        <f>ROUND(SUMIF(PhasesTable[CIP '#],ProjectsTable[[#This Row],[CIP '#]],PhasesTable[Projected Expenditures FY 2020]),0)</f>
        <v>100</v>
      </c>
      <c r="S52" s="229">
        <f>ROUND(SUMIF(PhasesTable[CIP '#],ProjectsTable[[#This Row],[CIP '#]],PhasesTable[Projected Expenditures FY 2021]),0)</f>
        <v>0</v>
      </c>
      <c r="T52" s="230">
        <f>ROUND(SUMIF(PhasesTable[CIP '#],ProjectsTable[[#This Row],[CIP '#]],PhasesTable[Projected Expenditures FY 2022]),0)</f>
        <v>0</v>
      </c>
      <c r="U52" s="227">
        <f>ROUND(SUMIF(PhasesTable[CIP '#],ProjectsTable[[#This Row],[CIP '#]],PhasesTable[Projected Expenditures FY 2023 &amp; Beyond]),0)</f>
        <v>0</v>
      </c>
      <c r="V52" s="231">
        <f>ROUND(SUMIF(PhasesTable[CIP '#],ProjectsTable[[#This Row],[CIP '#]],PhasesTable[2018-2022 CIP Total]),0)</f>
        <v>2600</v>
      </c>
      <c r="W52" s="232">
        <f>ROUND(SUMIF(PhasesTable[CIP '#],ProjectsTable[[#This Row],[CIP '#]],PhasesTable[Project Total]),0)</f>
        <v>2800</v>
      </c>
      <c r="X52" s="164" t="s">
        <v>28</v>
      </c>
    </row>
    <row r="53" spans="1:24" s="19" customFormat="1" ht="42.75" x14ac:dyDescent="0.45">
      <c r="A53" s="158">
        <v>8</v>
      </c>
      <c r="B53" s="159">
        <v>1272</v>
      </c>
      <c r="C53" s="160" t="s">
        <v>37</v>
      </c>
      <c r="D53" s="161" t="s">
        <v>23</v>
      </c>
      <c r="E53" s="162">
        <v>2014</v>
      </c>
      <c r="F53" s="162">
        <v>112</v>
      </c>
      <c r="G53" s="162">
        <v>112001</v>
      </c>
      <c r="H53" s="162" t="s">
        <v>24</v>
      </c>
      <c r="I53" s="162" t="s">
        <v>24</v>
      </c>
      <c r="J53" s="161" t="s">
        <v>25</v>
      </c>
      <c r="K53" s="161" t="s">
        <v>38</v>
      </c>
      <c r="L53" s="161">
        <v>42.4</v>
      </c>
      <c r="M53" s="163">
        <v>62.199999999999996</v>
      </c>
      <c r="N53" s="226">
        <f>ROUND(SUMIF(PhasesTable[CIP '#],ProjectsTable[[#This Row],[CIP '#]],PhasesTable[Lifetime Actual Thru FY 2016 (Unaudited)]),0)</f>
        <v>0</v>
      </c>
      <c r="O53" s="227">
        <f>ROUND(SUMIF(PhasesTable[CIP '#],ProjectsTable[[#This Row],[CIP '#]],PhasesTable[Projected Expenditures FY 2017]),0)</f>
        <v>0</v>
      </c>
      <c r="P53" s="228">
        <f>ROUND(SUMIF(PhasesTable[CIP '#],ProjectsTable[[#This Row],[CIP '#]],PhasesTable[Projected Expenditures FY 2018]),0)</f>
        <v>800</v>
      </c>
      <c r="Q53" s="229">
        <f>ROUND(SUMIF(PhasesTable[CIP '#],ProjectsTable[[#This Row],[CIP '#]],PhasesTable[Projected Expenditures FY 2019]),0)</f>
        <v>0</v>
      </c>
      <c r="R53" s="229">
        <f>ROUND(SUMIF(PhasesTable[CIP '#],ProjectsTable[[#This Row],[CIP '#]],PhasesTable[Projected Expenditures FY 2020]),0)</f>
        <v>0</v>
      </c>
      <c r="S53" s="229">
        <f>ROUND(SUMIF(PhasesTable[CIP '#],ProjectsTable[[#This Row],[CIP '#]],PhasesTable[Projected Expenditures FY 2021]),0)</f>
        <v>0</v>
      </c>
      <c r="T53" s="230">
        <f>ROUND(SUMIF(PhasesTable[CIP '#],ProjectsTable[[#This Row],[CIP '#]],PhasesTable[Projected Expenditures FY 2022]),0)</f>
        <v>0</v>
      </c>
      <c r="U53" s="227">
        <f>ROUND(SUMIF(PhasesTable[CIP '#],ProjectsTable[[#This Row],[CIP '#]],PhasesTable[Projected Expenditures FY 2023 &amp; Beyond]),0)</f>
        <v>0</v>
      </c>
      <c r="V53" s="231">
        <f>ROUND(SUMIF(PhasesTable[CIP '#],ProjectsTable[[#This Row],[CIP '#]],PhasesTable[2018-2022 CIP Total]),0)</f>
        <v>800</v>
      </c>
      <c r="W53" s="232">
        <f>ROUND(SUMIF(PhasesTable[CIP '#],ProjectsTable[[#This Row],[CIP '#]],PhasesTable[Project Total]),0)</f>
        <v>800</v>
      </c>
      <c r="X53" s="164" t="s">
        <v>28</v>
      </c>
    </row>
    <row r="54" spans="1:24" s="18" customFormat="1" ht="42.75" x14ac:dyDescent="0.45">
      <c r="A54" s="158">
        <v>9</v>
      </c>
      <c r="B54" s="159">
        <v>1273</v>
      </c>
      <c r="C54" s="160" t="s">
        <v>39</v>
      </c>
      <c r="D54" s="161" t="s">
        <v>23</v>
      </c>
      <c r="E54" s="162">
        <v>2014</v>
      </c>
      <c r="F54" s="162">
        <v>112</v>
      </c>
      <c r="G54" s="162">
        <v>112002</v>
      </c>
      <c r="H54" s="162" t="s">
        <v>24</v>
      </c>
      <c r="I54" s="162" t="s">
        <v>24</v>
      </c>
      <c r="J54" s="161" t="s">
        <v>25</v>
      </c>
      <c r="K54" s="161" t="s">
        <v>38</v>
      </c>
      <c r="L54" s="161" t="s">
        <v>27</v>
      </c>
      <c r="M54" s="163" t="s">
        <v>27</v>
      </c>
      <c r="N54" s="226">
        <f>ROUND(SUMIF(PhasesTable[CIP '#],ProjectsTable[[#This Row],[CIP '#]],PhasesTable[Lifetime Actual Thru FY 2016 (Unaudited)]),0)</f>
        <v>0</v>
      </c>
      <c r="O54" s="227">
        <f>ROUND(SUMIF(PhasesTable[CIP '#],ProjectsTable[[#This Row],[CIP '#]],PhasesTable[Projected Expenditures FY 2017]),0)</f>
        <v>150</v>
      </c>
      <c r="P54" s="228">
        <f>ROUND(SUMIF(PhasesTable[CIP '#],ProjectsTable[[#This Row],[CIP '#]],PhasesTable[Projected Expenditures FY 2018]),0)</f>
        <v>1183</v>
      </c>
      <c r="Q54" s="229">
        <f>ROUND(SUMIF(PhasesTable[CIP '#],ProjectsTable[[#This Row],[CIP '#]],PhasesTable[Projected Expenditures FY 2019]),0)</f>
        <v>0</v>
      </c>
      <c r="R54" s="229">
        <f>ROUND(SUMIF(PhasesTable[CIP '#],ProjectsTable[[#This Row],[CIP '#]],PhasesTable[Projected Expenditures FY 2020]),0)</f>
        <v>0</v>
      </c>
      <c r="S54" s="229">
        <f>ROUND(SUMIF(PhasesTable[CIP '#],ProjectsTable[[#This Row],[CIP '#]],PhasesTable[Projected Expenditures FY 2021]),0)</f>
        <v>0</v>
      </c>
      <c r="T54" s="230">
        <f>ROUND(SUMIF(PhasesTable[CIP '#],ProjectsTable[[#This Row],[CIP '#]],PhasesTable[Projected Expenditures FY 2022]),0)</f>
        <v>0</v>
      </c>
      <c r="U54" s="227">
        <f>ROUND(SUMIF(PhasesTable[CIP '#],ProjectsTable[[#This Row],[CIP '#]],PhasesTable[Projected Expenditures FY 2023 &amp; Beyond]),0)</f>
        <v>0</v>
      </c>
      <c r="V54" s="231">
        <f>ROUND(SUMIF(PhasesTable[CIP '#],ProjectsTable[[#This Row],[CIP '#]],PhasesTable[2018-2022 CIP Total]),0)</f>
        <v>1183</v>
      </c>
      <c r="W54" s="232">
        <f>ROUND(SUMIF(PhasesTable[CIP '#],ProjectsTable[[#This Row],[CIP '#]],PhasesTable[Project Total]),0)</f>
        <v>1333</v>
      </c>
      <c r="X54" s="164" t="s">
        <v>28</v>
      </c>
    </row>
    <row r="55" spans="1:24" s="48" customFormat="1" ht="42.75" x14ac:dyDescent="0.45">
      <c r="A55" s="158">
        <v>28</v>
      </c>
      <c r="B55" s="159">
        <v>1274</v>
      </c>
      <c r="C55" s="160" t="s">
        <v>64</v>
      </c>
      <c r="D55" s="161" t="s">
        <v>23</v>
      </c>
      <c r="E55" s="162">
        <v>2014</v>
      </c>
      <c r="F55" s="162">
        <v>115</v>
      </c>
      <c r="G55" s="162">
        <v>115002</v>
      </c>
      <c r="H55" s="162" t="s">
        <v>24</v>
      </c>
      <c r="I55" s="162" t="s">
        <v>24</v>
      </c>
      <c r="J55" s="161" t="s">
        <v>25</v>
      </c>
      <c r="K55" s="161" t="s">
        <v>63</v>
      </c>
      <c r="L55" s="161" t="s">
        <v>27</v>
      </c>
      <c r="M55" s="163" t="s">
        <v>27</v>
      </c>
      <c r="N55" s="226">
        <f>ROUND(SUMIF(PhasesTable[CIP '#],ProjectsTable[[#This Row],[CIP '#]],PhasesTable[Lifetime Actual Thru FY 2016 (Unaudited)]),0)</f>
        <v>761</v>
      </c>
      <c r="O55" s="227">
        <f>ROUND(SUMIF(PhasesTable[CIP '#],ProjectsTable[[#This Row],[CIP '#]],PhasesTable[Projected Expenditures FY 2017]),0)</f>
        <v>2275</v>
      </c>
      <c r="P55" s="228">
        <f>ROUND(SUMIF(PhasesTable[CIP '#],ProjectsTable[[#This Row],[CIP '#]],PhasesTable[Projected Expenditures FY 2018]),0)</f>
        <v>0</v>
      </c>
      <c r="Q55" s="229">
        <f>ROUND(SUMIF(PhasesTable[CIP '#],ProjectsTable[[#This Row],[CIP '#]],PhasesTable[Projected Expenditures FY 2019]),0)</f>
        <v>0</v>
      </c>
      <c r="R55" s="229">
        <f>ROUND(SUMIF(PhasesTable[CIP '#],ProjectsTable[[#This Row],[CIP '#]],PhasesTable[Projected Expenditures FY 2020]),0)</f>
        <v>0</v>
      </c>
      <c r="S55" s="229">
        <f>ROUND(SUMIF(PhasesTable[CIP '#],ProjectsTable[[#This Row],[CIP '#]],PhasesTable[Projected Expenditures FY 2021]),0)</f>
        <v>0</v>
      </c>
      <c r="T55" s="230">
        <f>ROUND(SUMIF(PhasesTable[CIP '#],ProjectsTable[[#This Row],[CIP '#]],PhasesTable[Projected Expenditures FY 2022]),0)</f>
        <v>0</v>
      </c>
      <c r="U55" s="227">
        <f>ROUND(SUMIF(PhasesTable[CIP '#],ProjectsTable[[#This Row],[CIP '#]],PhasesTable[Projected Expenditures FY 2023 &amp; Beyond]),0)</f>
        <v>0</v>
      </c>
      <c r="V55" s="231">
        <f>ROUND(SUMIF(PhasesTable[CIP '#],ProjectsTable[[#This Row],[CIP '#]],PhasesTable[2018-2022 CIP Total]),0)</f>
        <v>0</v>
      </c>
      <c r="W55" s="232">
        <f>ROUND(SUMIF(PhasesTable[CIP '#],ProjectsTable[[#This Row],[CIP '#]],PhasesTable[Project Total]),0)</f>
        <v>3036</v>
      </c>
      <c r="X55" s="164" t="s">
        <v>51</v>
      </c>
    </row>
    <row r="56" spans="1:24" s="67" customFormat="1" ht="42.75" x14ac:dyDescent="0.45">
      <c r="A56" s="158">
        <v>11</v>
      </c>
      <c r="B56" s="159">
        <v>1277</v>
      </c>
      <c r="C56" s="160" t="s">
        <v>42</v>
      </c>
      <c r="D56" s="161" t="s">
        <v>23</v>
      </c>
      <c r="E56" s="162">
        <v>2014</v>
      </c>
      <c r="F56" s="162">
        <v>113</v>
      </c>
      <c r="G56" s="162">
        <v>113002</v>
      </c>
      <c r="H56" s="162" t="s">
        <v>24</v>
      </c>
      <c r="I56" s="162" t="s">
        <v>24</v>
      </c>
      <c r="J56" s="161" t="s">
        <v>25</v>
      </c>
      <c r="K56" s="161" t="s">
        <v>40</v>
      </c>
      <c r="L56" s="161">
        <v>64</v>
      </c>
      <c r="M56" s="163">
        <v>46.6</v>
      </c>
      <c r="N56" s="226">
        <f>ROUND(SUMIF(PhasesTable[CIP '#],ProjectsTable[[#This Row],[CIP '#]],PhasesTable[Lifetime Actual Thru FY 2016 (Unaudited)]),0)</f>
        <v>0</v>
      </c>
      <c r="O56" s="227">
        <f>ROUND(SUMIF(PhasesTable[CIP '#],ProjectsTable[[#This Row],[CIP '#]],PhasesTable[Projected Expenditures FY 2017]),0)</f>
        <v>160</v>
      </c>
      <c r="P56" s="228">
        <f>ROUND(SUMIF(PhasesTable[CIP '#],ProjectsTable[[#This Row],[CIP '#]],PhasesTable[Projected Expenditures FY 2018]),0)</f>
        <v>160</v>
      </c>
      <c r="Q56" s="229">
        <f>ROUND(SUMIF(PhasesTable[CIP '#],ProjectsTable[[#This Row],[CIP '#]],PhasesTable[Projected Expenditures FY 2019]),0)</f>
        <v>900</v>
      </c>
      <c r="R56" s="229">
        <f>ROUND(SUMIF(PhasesTable[CIP '#],ProjectsTable[[#This Row],[CIP '#]],PhasesTable[Projected Expenditures FY 2020]),0)</f>
        <v>900</v>
      </c>
      <c r="S56" s="229">
        <f>ROUND(SUMIF(PhasesTable[CIP '#],ProjectsTable[[#This Row],[CIP '#]],PhasesTable[Projected Expenditures FY 2021]),0)</f>
        <v>0</v>
      </c>
      <c r="T56" s="230">
        <f>ROUND(SUMIF(PhasesTable[CIP '#],ProjectsTable[[#This Row],[CIP '#]],PhasesTable[Projected Expenditures FY 2022]),0)</f>
        <v>0</v>
      </c>
      <c r="U56" s="227">
        <f>ROUND(SUMIF(PhasesTable[CIP '#],ProjectsTable[[#This Row],[CIP '#]],PhasesTable[Projected Expenditures FY 2023 &amp; Beyond]),0)</f>
        <v>0</v>
      </c>
      <c r="V56" s="231">
        <f>ROUND(SUMIF(PhasesTable[CIP '#],ProjectsTable[[#This Row],[CIP '#]],PhasesTable[2018-2022 CIP Total]),0)</f>
        <v>1960</v>
      </c>
      <c r="W56" s="232">
        <f>ROUND(SUMIF(PhasesTable[CIP '#],ProjectsTable[[#This Row],[CIP '#]],PhasesTable[Project Total]),0)</f>
        <v>2120</v>
      </c>
      <c r="X56" s="164" t="s">
        <v>28</v>
      </c>
    </row>
    <row r="57" spans="1:24" s="67" customFormat="1" ht="28.5" x14ac:dyDescent="0.45">
      <c r="A57" s="158">
        <v>120</v>
      </c>
      <c r="B57" s="159">
        <v>1279</v>
      </c>
      <c r="C57" s="160" t="s">
        <v>176</v>
      </c>
      <c r="D57" s="161" t="s">
        <v>23</v>
      </c>
      <c r="E57" s="162">
        <v>2014</v>
      </c>
      <c r="F57" s="162">
        <v>331</v>
      </c>
      <c r="G57" s="162">
        <v>331001</v>
      </c>
      <c r="H57" s="162" t="s">
        <v>24</v>
      </c>
      <c r="I57" s="162" t="s">
        <v>280</v>
      </c>
      <c r="J57" s="162" t="s">
        <v>177</v>
      </c>
      <c r="K57" s="162" t="s">
        <v>67</v>
      </c>
      <c r="L57" s="161" t="s">
        <v>27</v>
      </c>
      <c r="M57" s="163" t="s">
        <v>27</v>
      </c>
      <c r="N57" s="226">
        <f>ROUND(SUMIF(PhasesTable[CIP '#],ProjectsTable[[#This Row],[CIP '#]],PhasesTable[Lifetime Actual Thru FY 2016 (Unaudited)]),0)</f>
        <v>0</v>
      </c>
      <c r="O57" s="227">
        <f>ROUND(SUMIF(PhasesTable[CIP '#],ProjectsTable[[#This Row],[CIP '#]],PhasesTable[Projected Expenditures FY 2017]),0)</f>
        <v>3000</v>
      </c>
      <c r="P57" s="228">
        <f>ROUND(SUMIF(PhasesTable[CIP '#],ProjectsTable[[#This Row],[CIP '#]],PhasesTable[Projected Expenditures FY 2018]),0)</f>
        <v>3000</v>
      </c>
      <c r="Q57" s="229">
        <f>ROUND(SUMIF(PhasesTable[CIP '#],ProjectsTable[[#This Row],[CIP '#]],PhasesTable[Projected Expenditures FY 2019]),0)</f>
        <v>3000</v>
      </c>
      <c r="R57" s="229">
        <f>ROUND(SUMIF(PhasesTable[CIP '#],ProjectsTable[[#This Row],[CIP '#]],PhasesTable[Projected Expenditures FY 2020]),0)</f>
        <v>2500</v>
      </c>
      <c r="S57" s="229">
        <f>ROUND(SUMIF(PhasesTable[CIP '#],ProjectsTable[[#This Row],[CIP '#]],PhasesTable[Projected Expenditures FY 2021]),0)</f>
        <v>0</v>
      </c>
      <c r="T57" s="230">
        <f>ROUND(SUMIF(PhasesTable[CIP '#],ProjectsTable[[#This Row],[CIP '#]],PhasesTable[Projected Expenditures FY 2022]),0)</f>
        <v>0</v>
      </c>
      <c r="U57" s="227">
        <f>ROUND(SUMIF(PhasesTable[CIP '#],ProjectsTable[[#This Row],[CIP '#]],PhasesTable[Projected Expenditures FY 2023 &amp; Beyond]),0)</f>
        <v>0</v>
      </c>
      <c r="V57" s="231">
        <f>ROUND(SUMIF(PhasesTable[CIP '#],ProjectsTable[[#This Row],[CIP '#]],PhasesTable[2018-2022 CIP Total]),0)</f>
        <v>8500</v>
      </c>
      <c r="W57" s="232">
        <f>ROUND(SUMIF(PhasesTable[CIP '#],ProjectsTable[[#This Row],[CIP '#]],PhasesTable[Project Total]),0)</f>
        <v>11500</v>
      </c>
      <c r="X57" s="164" t="s">
        <v>28</v>
      </c>
    </row>
    <row r="58" spans="1:24" s="43" customFormat="1" ht="42.75" x14ac:dyDescent="0.45">
      <c r="A58" s="158">
        <v>2</v>
      </c>
      <c r="B58" s="159">
        <v>1280</v>
      </c>
      <c r="C58" s="160" t="s">
        <v>29</v>
      </c>
      <c r="D58" s="161" t="s">
        <v>23</v>
      </c>
      <c r="E58" s="162">
        <v>2014</v>
      </c>
      <c r="F58" s="162">
        <v>111</v>
      </c>
      <c r="G58" s="162">
        <v>111002</v>
      </c>
      <c r="H58" s="162" t="s">
        <v>24</v>
      </c>
      <c r="I58" s="162" t="s">
        <v>24</v>
      </c>
      <c r="J58" s="161" t="s">
        <v>25</v>
      </c>
      <c r="K58" s="161" t="s">
        <v>26</v>
      </c>
      <c r="L58" s="161">
        <v>66.8</v>
      </c>
      <c r="M58" s="163">
        <v>77</v>
      </c>
      <c r="N58" s="226">
        <f>ROUND(SUMIF(PhasesTable[CIP '#],ProjectsTable[[#This Row],[CIP '#]],PhasesTable[Lifetime Actual Thru FY 2016 (Unaudited)]),0)</f>
        <v>0</v>
      </c>
      <c r="O58" s="227">
        <f>ROUND(SUMIF(PhasesTable[CIP '#],ProjectsTable[[#This Row],[CIP '#]],PhasesTable[Projected Expenditures FY 2017]),0)</f>
        <v>270</v>
      </c>
      <c r="P58" s="228">
        <f>ROUND(SUMIF(PhasesTable[CIP '#],ProjectsTable[[#This Row],[CIP '#]],PhasesTable[Projected Expenditures FY 2018]),0)</f>
        <v>1030</v>
      </c>
      <c r="Q58" s="229">
        <f>ROUND(SUMIF(PhasesTable[CIP '#],ProjectsTable[[#This Row],[CIP '#]],PhasesTable[Projected Expenditures FY 2019]),0)</f>
        <v>3130</v>
      </c>
      <c r="R58" s="229">
        <f>ROUND(SUMIF(PhasesTable[CIP '#],ProjectsTable[[#This Row],[CIP '#]],PhasesTable[Projected Expenditures FY 2020]),0)</f>
        <v>3050</v>
      </c>
      <c r="S58" s="229">
        <f>ROUND(SUMIF(PhasesTable[CIP '#],ProjectsTable[[#This Row],[CIP '#]],PhasesTable[Projected Expenditures FY 2021]),0)</f>
        <v>422</v>
      </c>
      <c r="T58" s="230">
        <f>ROUND(SUMIF(PhasesTable[CIP '#],ProjectsTable[[#This Row],[CIP '#]],PhasesTable[Projected Expenditures FY 2022]),0)</f>
        <v>0</v>
      </c>
      <c r="U58" s="227">
        <f>ROUND(SUMIF(PhasesTable[CIP '#],ProjectsTable[[#This Row],[CIP '#]],PhasesTable[Projected Expenditures FY 2023 &amp; Beyond]),0)</f>
        <v>0</v>
      </c>
      <c r="V58" s="231">
        <f>ROUND(SUMIF(PhasesTable[CIP '#],ProjectsTable[[#This Row],[CIP '#]],PhasesTable[2018-2022 CIP Total]),0)</f>
        <v>7632</v>
      </c>
      <c r="W58" s="232">
        <f>ROUND(SUMIF(PhasesTable[CIP '#],ProjectsTable[[#This Row],[CIP '#]],PhasesTable[Project Total]),0)</f>
        <v>7902</v>
      </c>
      <c r="X58" s="164" t="s">
        <v>28</v>
      </c>
    </row>
    <row r="59" spans="1:24" s="67" customFormat="1" ht="42.75" x14ac:dyDescent="0.45">
      <c r="A59" s="158">
        <v>12</v>
      </c>
      <c r="B59" s="159">
        <v>1283</v>
      </c>
      <c r="C59" s="160" t="s">
        <v>43</v>
      </c>
      <c r="D59" s="161" t="s">
        <v>23</v>
      </c>
      <c r="E59" s="162">
        <v>2014</v>
      </c>
      <c r="F59" s="162">
        <v>113</v>
      </c>
      <c r="G59" s="162">
        <v>113003</v>
      </c>
      <c r="H59" s="162" t="s">
        <v>24</v>
      </c>
      <c r="I59" s="162" t="s">
        <v>24</v>
      </c>
      <c r="J59" s="161" t="s">
        <v>25</v>
      </c>
      <c r="K59" s="161" t="s">
        <v>40</v>
      </c>
      <c r="L59" s="161" t="s">
        <v>27</v>
      </c>
      <c r="M59" s="163" t="s">
        <v>27</v>
      </c>
      <c r="N59" s="226">
        <f>ROUND(SUMIF(PhasesTable[CIP '#],ProjectsTable[[#This Row],[CIP '#]],PhasesTable[Lifetime Actual Thru FY 2016 (Unaudited)]),0)</f>
        <v>0</v>
      </c>
      <c r="O59" s="227">
        <f>ROUND(SUMIF(PhasesTable[CIP '#],ProjectsTable[[#This Row],[CIP '#]],PhasesTable[Projected Expenditures FY 2017]),0)</f>
        <v>0</v>
      </c>
      <c r="P59" s="228">
        <f>ROUND(SUMIF(PhasesTable[CIP '#],ProjectsTable[[#This Row],[CIP '#]],PhasesTable[Projected Expenditures FY 2018]),0)</f>
        <v>0</v>
      </c>
      <c r="Q59" s="229">
        <f>ROUND(SUMIF(PhasesTable[CIP '#],ProjectsTable[[#This Row],[CIP '#]],PhasesTable[Projected Expenditures FY 2019]),0)</f>
        <v>0</v>
      </c>
      <c r="R59" s="229">
        <f>ROUND(SUMIF(PhasesTable[CIP '#],ProjectsTable[[#This Row],[CIP '#]],PhasesTable[Projected Expenditures FY 2020]),0)</f>
        <v>0</v>
      </c>
      <c r="S59" s="229">
        <f>ROUND(SUMIF(PhasesTable[CIP '#],ProjectsTable[[#This Row],[CIP '#]],PhasesTable[Projected Expenditures FY 2021]),0)</f>
        <v>0</v>
      </c>
      <c r="T59" s="230">
        <f>ROUND(SUMIF(PhasesTable[CIP '#],ProjectsTable[[#This Row],[CIP '#]],PhasesTable[Projected Expenditures FY 2022]),0)</f>
        <v>0</v>
      </c>
      <c r="U59" s="227">
        <f>ROUND(SUMIF(PhasesTable[CIP '#],ProjectsTable[[#This Row],[CIP '#]],PhasesTable[Projected Expenditures FY 2023 &amp; Beyond]),0)</f>
        <v>2940</v>
      </c>
      <c r="V59" s="231">
        <f>ROUND(SUMIF(PhasesTable[CIP '#],ProjectsTable[[#This Row],[CIP '#]],PhasesTable[2018-2022 CIP Total]),0)</f>
        <v>0</v>
      </c>
      <c r="W59" s="232">
        <f>ROUND(SUMIF(PhasesTable[CIP '#],ProjectsTable[[#This Row],[CIP '#]],PhasesTable[Project Total]),0)</f>
        <v>2940</v>
      </c>
      <c r="X59" s="164" t="s">
        <v>28</v>
      </c>
    </row>
    <row r="60" spans="1:24" s="43" customFormat="1" ht="28.5" x14ac:dyDescent="0.45">
      <c r="A60" s="20">
        <v>90</v>
      </c>
      <c r="B60" s="165">
        <v>1284</v>
      </c>
      <c r="C60" s="166" t="s">
        <v>299</v>
      </c>
      <c r="D60" s="23" t="s">
        <v>23</v>
      </c>
      <c r="E60" s="55">
        <v>2014</v>
      </c>
      <c r="F60" s="55">
        <v>213</v>
      </c>
      <c r="G60" s="55">
        <v>213005</v>
      </c>
      <c r="H60" s="55" t="s">
        <v>119</v>
      </c>
      <c r="I60" s="55" t="s">
        <v>119</v>
      </c>
      <c r="J60" s="55" t="s">
        <v>72</v>
      </c>
      <c r="K60" s="55" t="s">
        <v>140</v>
      </c>
      <c r="L60" s="167" t="s">
        <v>27</v>
      </c>
      <c r="M60" s="168">
        <v>36</v>
      </c>
      <c r="N60" s="117">
        <f>ROUND(SUMIF(PhasesTable[CIP '#],ProjectsTable[[#This Row],[CIP '#]],PhasesTable[Lifetime Actual Thru FY 2016 (Unaudited)]),0)</f>
        <v>0</v>
      </c>
      <c r="O60" s="117">
        <f>ROUND(SUMIF(PhasesTable[CIP '#],ProjectsTable[[#This Row],[CIP '#]],PhasesTable[Projected Expenditures FY 2017]),0)</f>
        <v>0</v>
      </c>
      <c r="P60" s="118">
        <f>ROUND(SUMIF(PhasesTable[CIP '#],ProjectsTable[[#This Row],[CIP '#]],PhasesTable[Projected Expenditures FY 2018]),0)</f>
        <v>900</v>
      </c>
      <c r="Q60" s="119">
        <f>ROUND(SUMIF(PhasesTable[CIP '#],ProjectsTable[[#This Row],[CIP '#]],PhasesTable[Projected Expenditures FY 2019]),0)</f>
        <v>200</v>
      </c>
      <c r="R60" s="119">
        <f>ROUND(SUMIF(PhasesTable[CIP '#],ProjectsTable[[#This Row],[CIP '#]],PhasesTable[Projected Expenditures FY 2020]),0)</f>
        <v>0</v>
      </c>
      <c r="S60" s="119">
        <f>ROUND(SUMIF(PhasesTable[CIP '#],ProjectsTable[[#This Row],[CIP '#]],PhasesTable[Projected Expenditures FY 2021]),0)</f>
        <v>0</v>
      </c>
      <c r="T60" s="120">
        <f>ROUND(SUMIF(PhasesTable[CIP '#],ProjectsTable[[#This Row],[CIP '#]],PhasesTable[Projected Expenditures FY 2022]),0)</f>
        <v>0</v>
      </c>
      <c r="U60" s="117">
        <f>ROUND(SUMIF(PhasesTable[CIP '#],ProjectsTable[[#This Row],[CIP '#]],PhasesTable[Projected Expenditures FY 2023 &amp; Beyond]),0)</f>
        <v>0</v>
      </c>
      <c r="V60" s="121">
        <f>ROUND(SUMIF(PhasesTable[CIP '#],ProjectsTable[[#This Row],[CIP '#]],PhasesTable[2018-2022 CIP Total]),0)</f>
        <v>1100</v>
      </c>
      <c r="W60" s="122">
        <f>ROUND(SUMIF(PhasesTable[CIP '#],ProjectsTable[[#This Row],[CIP '#]],PhasesTable[Project Total]),0)</f>
        <v>1100</v>
      </c>
      <c r="X60" s="183" t="s">
        <v>125</v>
      </c>
    </row>
    <row r="61" spans="1:24" s="18" customFormat="1" ht="28.5" x14ac:dyDescent="0.45">
      <c r="A61" s="20">
        <v>94</v>
      </c>
      <c r="B61" s="165">
        <v>1285</v>
      </c>
      <c r="C61" s="166" t="s">
        <v>148</v>
      </c>
      <c r="D61" s="23" t="s">
        <v>23</v>
      </c>
      <c r="E61" s="55">
        <v>2014</v>
      </c>
      <c r="F61" s="55">
        <v>214</v>
      </c>
      <c r="G61" s="55">
        <v>214001</v>
      </c>
      <c r="H61" s="55" t="s">
        <v>119</v>
      </c>
      <c r="I61" s="55" t="s">
        <v>119</v>
      </c>
      <c r="J61" s="55" t="s">
        <v>72</v>
      </c>
      <c r="K61" s="55" t="s">
        <v>149</v>
      </c>
      <c r="L61" s="167" t="s">
        <v>27</v>
      </c>
      <c r="M61" s="168">
        <v>51.4</v>
      </c>
      <c r="N61" s="117">
        <f>ROUND(SUMIF(PhasesTable[CIP '#],ProjectsTable[[#This Row],[CIP '#]],PhasesTable[Lifetime Actual Thru FY 2016 (Unaudited)]),0)</f>
        <v>0</v>
      </c>
      <c r="O61" s="117">
        <f>ROUND(SUMIF(PhasesTable[CIP '#],ProjectsTable[[#This Row],[CIP '#]],PhasesTable[Projected Expenditures FY 2017]),0)</f>
        <v>0</v>
      </c>
      <c r="P61" s="118">
        <f>ROUND(SUMIF(PhasesTable[CIP '#],ProjectsTable[[#This Row],[CIP '#]],PhasesTable[Projected Expenditures FY 2018]),0)</f>
        <v>5000</v>
      </c>
      <c r="Q61" s="119">
        <f>ROUND(SUMIF(PhasesTable[CIP '#],ProjectsTable[[#This Row],[CIP '#]],PhasesTable[Projected Expenditures FY 2019]),0)</f>
        <v>2000</v>
      </c>
      <c r="R61" s="119">
        <f>ROUND(SUMIF(PhasesTable[CIP '#],ProjectsTable[[#This Row],[CIP '#]],PhasesTable[Projected Expenditures FY 2020]),0)</f>
        <v>0</v>
      </c>
      <c r="S61" s="119">
        <f>ROUND(SUMIF(PhasesTable[CIP '#],ProjectsTable[[#This Row],[CIP '#]],PhasesTable[Projected Expenditures FY 2021]),0)</f>
        <v>0</v>
      </c>
      <c r="T61" s="120">
        <f>ROUND(SUMIF(PhasesTable[CIP '#],ProjectsTable[[#This Row],[CIP '#]],PhasesTable[Projected Expenditures FY 2022]),0)</f>
        <v>0</v>
      </c>
      <c r="U61" s="117">
        <f>ROUND(SUMIF(PhasesTable[CIP '#],ProjectsTable[[#This Row],[CIP '#]],PhasesTable[Projected Expenditures FY 2023 &amp; Beyond]),0)</f>
        <v>0</v>
      </c>
      <c r="V61" s="121">
        <f>ROUND(SUMIF(PhasesTable[CIP '#],ProjectsTable[[#This Row],[CIP '#]],PhasesTable[2018-2022 CIP Total]),0)</f>
        <v>7000</v>
      </c>
      <c r="W61" s="122">
        <f>ROUND(SUMIF(PhasesTable[CIP '#],ProjectsTable[[#This Row],[CIP '#]],PhasesTable[Project Total]),0)</f>
        <v>7000</v>
      </c>
      <c r="X61" s="169" t="s">
        <v>121</v>
      </c>
    </row>
    <row r="62" spans="1:24" s="18" customFormat="1" ht="28.5" x14ac:dyDescent="0.45">
      <c r="A62" s="20">
        <v>104</v>
      </c>
      <c r="B62" s="165">
        <v>1286</v>
      </c>
      <c r="C62" s="166" t="s">
        <v>159</v>
      </c>
      <c r="D62" s="23" t="s">
        <v>23</v>
      </c>
      <c r="E62" s="55">
        <v>2014</v>
      </c>
      <c r="F62" s="55">
        <v>222</v>
      </c>
      <c r="G62" s="55">
        <v>222001</v>
      </c>
      <c r="H62" s="55" t="s">
        <v>119</v>
      </c>
      <c r="I62" s="55" t="s">
        <v>119</v>
      </c>
      <c r="J62" s="55" t="s">
        <v>74</v>
      </c>
      <c r="K62" s="55" t="s">
        <v>158</v>
      </c>
      <c r="L62" s="167" t="s">
        <v>27</v>
      </c>
      <c r="M62" s="168">
        <v>51.800000000000004</v>
      </c>
      <c r="N62" s="117">
        <f>ROUND(SUMIF(PhasesTable[CIP '#],ProjectsTable[[#This Row],[CIP '#]],PhasesTable[Lifetime Actual Thru FY 2016 (Unaudited)]),0)</f>
        <v>0</v>
      </c>
      <c r="O62" s="117">
        <f>ROUND(SUMIF(PhasesTable[CIP '#],ProjectsTable[[#This Row],[CIP '#]],PhasesTable[Projected Expenditures FY 2017]),0)</f>
        <v>0</v>
      </c>
      <c r="P62" s="118">
        <f>ROUND(SUMIF(PhasesTable[CIP '#],ProjectsTable[[#This Row],[CIP '#]],PhasesTable[Projected Expenditures FY 2018]),0)</f>
        <v>0</v>
      </c>
      <c r="Q62" s="119">
        <f>ROUND(SUMIF(PhasesTable[CIP '#],ProjectsTable[[#This Row],[CIP '#]],PhasesTable[Projected Expenditures FY 2019]),0)</f>
        <v>550</v>
      </c>
      <c r="R62" s="119">
        <f>ROUND(SUMIF(PhasesTable[CIP '#],ProjectsTable[[#This Row],[CIP '#]],PhasesTable[Projected Expenditures FY 2020]),0)</f>
        <v>2750</v>
      </c>
      <c r="S62" s="119">
        <f>ROUND(SUMIF(PhasesTable[CIP '#],ProjectsTable[[#This Row],[CIP '#]],PhasesTable[Projected Expenditures FY 2021]),0)</f>
        <v>5500</v>
      </c>
      <c r="T62" s="120">
        <f>ROUND(SUMIF(PhasesTable[CIP '#],ProjectsTable[[#This Row],[CIP '#]],PhasesTable[Projected Expenditures FY 2022]),0)</f>
        <v>2200</v>
      </c>
      <c r="U62" s="117">
        <f>ROUND(SUMIF(PhasesTable[CIP '#],ProjectsTable[[#This Row],[CIP '#]],PhasesTable[Projected Expenditures FY 2023 &amp; Beyond]),0)</f>
        <v>0</v>
      </c>
      <c r="V62" s="121">
        <f>ROUND(SUMIF(PhasesTable[CIP '#],ProjectsTable[[#This Row],[CIP '#]],PhasesTable[2018-2022 CIP Total]),0)</f>
        <v>11000</v>
      </c>
      <c r="W62" s="122">
        <f>ROUND(SUMIF(PhasesTable[CIP '#],ProjectsTable[[#This Row],[CIP '#]],PhasesTable[Project Total]),0)</f>
        <v>11000</v>
      </c>
      <c r="X62" s="169" t="s">
        <v>130</v>
      </c>
    </row>
    <row r="63" spans="1:24" s="67" customFormat="1" ht="28.5" x14ac:dyDescent="0.45">
      <c r="A63" s="20">
        <v>73</v>
      </c>
      <c r="B63" s="165">
        <v>1287</v>
      </c>
      <c r="C63" s="166" t="s">
        <v>293</v>
      </c>
      <c r="D63" s="23" t="s">
        <v>23</v>
      </c>
      <c r="E63" s="55">
        <v>2014</v>
      </c>
      <c r="F63" s="55">
        <v>211</v>
      </c>
      <c r="G63" s="55">
        <v>211005</v>
      </c>
      <c r="H63" s="55" t="s">
        <v>119</v>
      </c>
      <c r="I63" s="55" t="s">
        <v>119</v>
      </c>
      <c r="J63" s="55" t="s">
        <v>72</v>
      </c>
      <c r="K63" s="55" t="s">
        <v>120</v>
      </c>
      <c r="L63" s="167" t="s">
        <v>27</v>
      </c>
      <c r="M63" s="168">
        <v>50.8</v>
      </c>
      <c r="N63" s="117">
        <f>ROUND(SUMIF(PhasesTable[CIP '#],ProjectsTable[[#This Row],[CIP '#]],PhasesTable[Lifetime Actual Thru FY 2016 (Unaudited)]),0)</f>
        <v>0</v>
      </c>
      <c r="O63" s="117">
        <f>ROUND(SUMIF(PhasesTable[CIP '#],ProjectsTable[[#This Row],[CIP '#]],PhasesTable[Projected Expenditures FY 2017]),0)</f>
        <v>0</v>
      </c>
      <c r="P63" s="118">
        <f>ROUND(SUMIF(PhasesTable[CIP '#],ProjectsTable[[#This Row],[CIP '#]],PhasesTable[Projected Expenditures FY 2018]),0)</f>
        <v>600</v>
      </c>
      <c r="Q63" s="119">
        <f>ROUND(SUMIF(PhasesTable[CIP '#],ProjectsTable[[#This Row],[CIP '#]],PhasesTable[Projected Expenditures FY 2019]),0)</f>
        <v>1700</v>
      </c>
      <c r="R63" s="119">
        <f>ROUND(SUMIF(PhasesTable[CIP '#],ProjectsTable[[#This Row],[CIP '#]],PhasesTable[Projected Expenditures FY 2020]),0)</f>
        <v>4800</v>
      </c>
      <c r="S63" s="119">
        <f>ROUND(SUMIF(PhasesTable[CIP '#],ProjectsTable[[#This Row],[CIP '#]],PhasesTable[Projected Expenditures FY 2021]),0)</f>
        <v>3700</v>
      </c>
      <c r="T63" s="120">
        <f>ROUND(SUMIF(PhasesTable[CIP '#],ProjectsTable[[#This Row],[CIP '#]],PhasesTable[Projected Expenditures FY 2022]),0)</f>
        <v>0</v>
      </c>
      <c r="U63" s="117">
        <f>ROUND(SUMIF(PhasesTable[CIP '#],ProjectsTable[[#This Row],[CIP '#]],PhasesTable[Projected Expenditures FY 2023 &amp; Beyond]),0)</f>
        <v>0</v>
      </c>
      <c r="V63" s="121">
        <f>ROUND(SUMIF(PhasesTable[CIP '#],ProjectsTable[[#This Row],[CIP '#]],PhasesTable[2018-2022 CIP Total]),0)</f>
        <v>10800</v>
      </c>
      <c r="W63" s="122">
        <f>ROUND(SUMIF(PhasesTable[CIP '#],ProjectsTable[[#This Row],[CIP '#]],PhasesTable[Project Total]),0)</f>
        <v>10800</v>
      </c>
      <c r="X63" s="183" t="s">
        <v>125</v>
      </c>
    </row>
    <row r="64" spans="1:24" s="67" customFormat="1" ht="42.75" x14ac:dyDescent="0.45">
      <c r="A64" s="158">
        <v>57</v>
      </c>
      <c r="B64" s="159">
        <v>1288</v>
      </c>
      <c r="C64" s="160" t="s">
        <v>104</v>
      </c>
      <c r="D64" s="161" t="s">
        <v>23</v>
      </c>
      <c r="E64" s="162">
        <v>2014</v>
      </c>
      <c r="F64" s="162">
        <v>132</v>
      </c>
      <c r="G64" s="162">
        <v>132005</v>
      </c>
      <c r="H64" s="162" t="s">
        <v>24</v>
      </c>
      <c r="I64" s="162" t="s">
        <v>24</v>
      </c>
      <c r="J64" s="161" t="s">
        <v>97</v>
      </c>
      <c r="K64" s="161" t="s">
        <v>98</v>
      </c>
      <c r="L64" s="161"/>
      <c r="M64" s="163" t="s">
        <v>27</v>
      </c>
      <c r="N64" s="226">
        <f>ROUND(SUMIF(PhasesTable[CIP '#],ProjectsTable[[#This Row],[CIP '#]],PhasesTable[Lifetime Actual Thru FY 2016 (Unaudited)]),0)</f>
        <v>0</v>
      </c>
      <c r="O64" s="227">
        <f>ROUND(SUMIF(PhasesTable[CIP '#],ProjectsTable[[#This Row],[CIP '#]],PhasesTable[Projected Expenditures FY 2017]),0)</f>
        <v>0</v>
      </c>
      <c r="P64" s="228">
        <f>ROUND(SUMIF(PhasesTable[CIP '#],ProjectsTable[[#This Row],[CIP '#]],PhasesTable[Projected Expenditures FY 2018]),0)</f>
        <v>125</v>
      </c>
      <c r="Q64" s="229">
        <f>ROUND(SUMIF(PhasesTable[CIP '#],ProjectsTable[[#This Row],[CIP '#]],PhasesTable[Projected Expenditures FY 2019]),0)</f>
        <v>125</v>
      </c>
      <c r="R64" s="229">
        <f>ROUND(SUMIF(PhasesTable[CIP '#],ProjectsTable[[#This Row],[CIP '#]],PhasesTable[Projected Expenditures FY 2020]),0)</f>
        <v>0</v>
      </c>
      <c r="S64" s="229">
        <f>ROUND(SUMIF(PhasesTable[CIP '#],ProjectsTable[[#This Row],[CIP '#]],PhasesTable[Projected Expenditures FY 2021]),0)</f>
        <v>0</v>
      </c>
      <c r="T64" s="230">
        <f>ROUND(SUMIF(PhasesTable[CIP '#],ProjectsTable[[#This Row],[CIP '#]],PhasesTable[Projected Expenditures FY 2022]),0)</f>
        <v>0</v>
      </c>
      <c r="U64" s="227">
        <f>ROUND(SUMIF(PhasesTable[CIP '#],ProjectsTable[[#This Row],[CIP '#]],PhasesTable[Projected Expenditures FY 2023 &amp; Beyond]),0)</f>
        <v>0</v>
      </c>
      <c r="V64" s="231">
        <f>ROUND(SUMIF(PhasesTable[CIP '#],ProjectsTable[[#This Row],[CIP '#]],PhasesTable[2018-2022 CIP Total]),0)</f>
        <v>250</v>
      </c>
      <c r="W64" s="232">
        <f>ROUND(SUMIF(PhasesTable[CIP '#],ProjectsTable[[#This Row],[CIP '#]],PhasesTable[Project Total]),0)</f>
        <v>250</v>
      </c>
      <c r="X64" s="164" t="s">
        <v>28</v>
      </c>
    </row>
    <row r="65" spans="1:24" s="18" customFormat="1" ht="42.75" x14ac:dyDescent="0.45">
      <c r="A65" s="158">
        <v>3</v>
      </c>
      <c r="B65" s="159">
        <v>1289</v>
      </c>
      <c r="C65" s="160" t="s">
        <v>31</v>
      </c>
      <c r="D65" s="161" t="s">
        <v>23</v>
      </c>
      <c r="E65" s="162">
        <v>2014</v>
      </c>
      <c r="F65" s="162">
        <v>111</v>
      </c>
      <c r="G65" s="162">
        <v>111003</v>
      </c>
      <c r="H65" s="162" t="s">
        <v>24</v>
      </c>
      <c r="I65" s="162" t="s">
        <v>24</v>
      </c>
      <c r="J65" s="161" t="s">
        <v>25</v>
      </c>
      <c r="K65" s="161" t="s">
        <v>26</v>
      </c>
      <c r="L65" s="161">
        <v>55.8</v>
      </c>
      <c r="M65" s="163">
        <v>30.2</v>
      </c>
      <c r="N65" s="226">
        <f>ROUND(SUMIF(PhasesTable[CIP '#],ProjectsTable[[#This Row],[CIP '#]],PhasesTable[Lifetime Actual Thru FY 2016 (Unaudited)]),0)</f>
        <v>0</v>
      </c>
      <c r="O65" s="227">
        <f>ROUND(SUMIF(PhasesTable[CIP '#],ProjectsTable[[#This Row],[CIP '#]],PhasesTable[Projected Expenditures FY 2017]),0)</f>
        <v>0</v>
      </c>
      <c r="P65" s="228">
        <f>ROUND(SUMIF(PhasesTable[CIP '#],ProjectsTable[[#This Row],[CIP '#]],PhasesTable[Projected Expenditures FY 2018]),0)</f>
        <v>125</v>
      </c>
      <c r="Q65" s="229">
        <f>ROUND(SUMIF(PhasesTable[CIP '#],ProjectsTable[[#This Row],[CIP '#]],PhasesTable[Projected Expenditures FY 2019]),0)</f>
        <v>0</v>
      </c>
      <c r="R65" s="229">
        <f>ROUND(SUMIF(PhasesTable[CIP '#],ProjectsTable[[#This Row],[CIP '#]],PhasesTable[Projected Expenditures FY 2020]),0)</f>
        <v>0</v>
      </c>
      <c r="S65" s="229">
        <f>ROUND(SUMIF(PhasesTable[CIP '#],ProjectsTable[[#This Row],[CIP '#]],PhasesTable[Projected Expenditures FY 2021]),0)</f>
        <v>0</v>
      </c>
      <c r="T65" s="230">
        <f>ROUND(SUMIF(PhasesTable[CIP '#],ProjectsTable[[#This Row],[CIP '#]],PhasesTable[Projected Expenditures FY 2022]),0)</f>
        <v>0</v>
      </c>
      <c r="U65" s="227">
        <f>ROUND(SUMIF(PhasesTable[CIP '#],ProjectsTable[[#This Row],[CIP '#]],PhasesTable[Projected Expenditures FY 2023 &amp; Beyond]),0)</f>
        <v>0</v>
      </c>
      <c r="V65" s="231">
        <f>ROUND(SUMIF(PhasesTable[CIP '#],ProjectsTable[[#This Row],[CIP '#]],PhasesTable[2018-2022 CIP Total]),0)</f>
        <v>125</v>
      </c>
      <c r="W65" s="232">
        <f>ROUND(SUMIF(PhasesTable[CIP '#],ProjectsTable[[#This Row],[CIP '#]],PhasesTable[Project Total]),0)</f>
        <v>125</v>
      </c>
      <c r="X65" s="164" t="s">
        <v>28</v>
      </c>
    </row>
    <row r="66" spans="1:24" s="67" customFormat="1" ht="42.75" x14ac:dyDescent="0.45">
      <c r="A66" s="158">
        <v>68</v>
      </c>
      <c r="B66" s="159">
        <v>1291</v>
      </c>
      <c r="C66" s="160" t="s">
        <v>117</v>
      </c>
      <c r="D66" s="161" t="s">
        <v>116</v>
      </c>
      <c r="E66" s="162">
        <v>2014</v>
      </c>
      <c r="F66" s="162">
        <v>1702</v>
      </c>
      <c r="G66" s="162">
        <v>170200</v>
      </c>
      <c r="H66" s="162" t="s">
        <v>24</v>
      </c>
      <c r="I66" s="162" t="s">
        <v>24</v>
      </c>
      <c r="J66" s="162" t="s">
        <v>323</v>
      </c>
      <c r="K66" s="162" t="s">
        <v>323</v>
      </c>
      <c r="L66" s="161" t="s">
        <v>27</v>
      </c>
      <c r="M66" s="163" t="s">
        <v>27</v>
      </c>
      <c r="N66" s="226">
        <f>ROUND(SUMIF(PhasesTable[CIP '#],ProjectsTable[[#This Row],[CIP '#]],PhasesTable[Lifetime Actual Thru FY 2016 (Unaudited)]),0)</f>
        <v>0</v>
      </c>
      <c r="O66" s="227">
        <f>ROUND(SUMIF(PhasesTable[CIP '#],ProjectsTable[[#This Row],[CIP '#]],PhasesTable[Projected Expenditures FY 2017]),0)</f>
        <v>0</v>
      </c>
      <c r="P66" s="228">
        <f>ROUND(SUMIF(PhasesTable[CIP '#],ProjectsTable[[#This Row],[CIP '#]],PhasesTable[Projected Expenditures FY 2018]),0)</f>
        <v>500</v>
      </c>
      <c r="Q66" s="229">
        <f>ROUND(SUMIF(PhasesTable[CIP '#],ProjectsTable[[#This Row],[CIP '#]],PhasesTable[Projected Expenditures FY 2019]),0)</f>
        <v>500</v>
      </c>
      <c r="R66" s="229">
        <f>ROUND(SUMIF(PhasesTable[CIP '#],ProjectsTable[[#This Row],[CIP '#]],PhasesTable[Projected Expenditures FY 2020]),0)</f>
        <v>500</v>
      </c>
      <c r="S66" s="229">
        <f>ROUND(SUMIF(PhasesTable[CIP '#],ProjectsTable[[#This Row],[CIP '#]],PhasesTable[Projected Expenditures FY 2021]),0)</f>
        <v>0</v>
      </c>
      <c r="T66" s="230">
        <f>ROUND(SUMIF(PhasesTable[CIP '#],ProjectsTable[[#This Row],[CIP '#]],PhasesTable[Projected Expenditures FY 2022]),0)</f>
        <v>0</v>
      </c>
      <c r="U66" s="227">
        <f>ROUND(SUMIF(PhasesTable[CIP '#],ProjectsTable[[#This Row],[CIP '#]],PhasesTable[Projected Expenditures FY 2023 &amp; Beyond]),0)</f>
        <v>0</v>
      </c>
      <c r="V66" s="231">
        <f>ROUND(SUMIF(PhasesTable[CIP '#],ProjectsTable[[#This Row],[CIP '#]],PhasesTable[2018-2022 CIP Total]),0)</f>
        <v>1500</v>
      </c>
      <c r="W66" s="232">
        <f>ROUND(SUMIF(PhasesTable[CIP '#],ProjectsTable[[#This Row],[CIP '#]],PhasesTable[Project Total]),0)</f>
        <v>1500</v>
      </c>
      <c r="X66" s="164" t="s">
        <v>28</v>
      </c>
    </row>
    <row r="67" spans="1:24" s="67" customFormat="1" ht="42.75" x14ac:dyDescent="0.45">
      <c r="A67" s="158">
        <v>30</v>
      </c>
      <c r="B67" s="159">
        <v>1292</v>
      </c>
      <c r="C67" s="160" t="s">
        <v>66</v>
      </c>
      <c r="D67" s="161" t="s">
        <v>23</v>
      </c>
      <c r="E67" s="162">
        <v>2014</v>
      </c>
      <c r="F67" s="162">
        <v>116</v>
      </c>
      <c r="G67" s="162">
        <v>116001</v>
      </c>
      <c r="H67" s="162" t="s">
        <v>24</v>
      </c>
      <c r="I67" s="162" t="s">
        <v>24</v>
      </c>
      <c r="J67" s="162" t="s">
        <v>25</v>
      </c>
      <c r="K67" s="162" t="s">
        <v>67</v>
      </c>
      <c r="L67" s="161" t="s">
        <v>27</v>
      </c>
      <c r="M67" s="163" t="s">
        <v>27</v>
      </c>
      <c r="N67" s="226">
        <f>ROUND(SUMIF(PhasesTable[CIP '#],ProjectsTable[[#This Row],[CIP '#]],PhasesTable[Lifetime Actual Thru FY 2016 (Unaudited)]),0)</f>
        <v>0</v>
      </c>
      <c r="O67" s="227">
        <f>ROUND(SUMIF(PhasesTable[CIP '#],ProjectsTable[[#This Row],[CIP '#]],PhasesTable[Projected Expenditures FY 2017]),0)</f>
        <v>0</v>
      </c>
      <c r="P67" s="228">
        <f>ROUND(SUMIF(PhasesTable[CIP '#],ProjectsTable[[#This Row],[CIP '#]],PhasesTable[Projected Expenditures FY 2018]),0)</f>
        <v>1000</v>
      </c>
      <c r="Q67" s="229">
        <f>ROUND(SUMIF(PhasesTable[CIP '#],ProjectsTable[[#This Row],[CIP '#]],PhasesTable[Projected Expenditures FY 2019]),0)</f>
        <v>1000</v>
      </c>
      <c r="R67" s="229">
        <f>ROUND(SUMIF(PhasesTable[CIP '#],ProjectsTable[[#This Row],[CIP '#]],PhasesTable[Projected Expenditures FY 2020]),0)</f>
        <v>500</v>
      </c>
      <c r="S67" s="229">
        <f>ROUND(SUMIF(PhasesTable[CIP '#],ProjectsTable[[#This Row],[CIP '#]],PhasesTable[Projected Expenditures FY 2021]),0)</f>
        <v>0</v>
      </c>
      <c r="T67" s="230">
        <f>ROUND(SUMIF(PhasesTable[CIP '#],ProjectsTable[[#This Row],[CIP '#]],PhasesTable[Projected Expenditures FY 2022]),0)</f>
        <v>0</v>
      </c>
      <c r="U67" s="227">
        <f>ROUND(SUMIF(PhasesTable[CIP '#],ProjectsTable[[#This Row],[CIP '#]],PhasesTable[Projected Expenditures FY 2023 &amp; Beyond]),0)</f>
        <v>0</v>
      </c>
      <c r="V67" s="231">
        <f>ROUND(SUMIF(PhasesTable[CIP '#],ProjectsTable[[#This Row],[CIP '#]],PhasesTable[2018-2022 CIP Total]),0)</f>
        <v>2500</v>
      </c>
      <c r="W67" s="232">
        <f>ROUND(SUMIF(PhasesTable[CIP '#],ProjectsTable[[#This Row],[CIP '#]],PhasesTable[Project Total]),0)</f>
        <v>2500</v>
      </c>
      <c r="X67" s="164" t="s">
        <v>28</v>
      </c>
    </row>
    <row r="68" spans="1:24" s="67" customFormat="1" ht="42.75" x14ac:dyDescent="0.45">
      <c r="A68" s="158">
        <v>58</v>
      </c>
      <c r="B68" s="159">
        <v>1293</v>
      </c>
      <c r="C68" s="160" t="s">
        <v>105</v>
      </c>
      <c r="D68" s="161" t="s">
        <v>23</v>
      </c>
      <c r="E68" s="162">
        <v>2014</v>
      </c>
      <c r="F68" s="162">
        <v>132</v>
      </c>
      <c r="G68" s="162">
        <v>132006</v>
      </c>
      <c r="H68" s="162" t="s">
        <v>24</v>
      </c>
      <c r="I68" s="162" t="s">
        <v>24</v>
      </c>
      <c r="J68" s="161" t="s">
        <v>97</v>
      </c>
      <c r="K68" s="161" t="s">
        <v>98</v>
      </c>
      <c r="L68" s="161" t="s">
        <v>27</v>
      </c>
      <c r="M68" s="163" t="s">
        <v>27</v>
      </c>
      <c r="N68" s="226">
        <f>ROUND(SUMIF(PhasesTable[CIP '#],ProjectsTable[[#This Row],[CIP '#]],PhasesTable[Lifetime Actual Thru FY 2016 (Unaudited)]),0)</f>
        <v>0</v>
      </c>
      <c r="O68" s="227">
        <f>ROUND(SUMIF(PhasesTable[CIP '#],ProjectsTable[[#This Row],[CIP '#]],PhasesTable[Projected Expenditures FY 2017]),0)</f>
        <v>0</v>
      </c>
      <c r="P68" s="228">
        <f>ROUND(SUMIF(PhasesTable[CIP '#],ProjectsTable[[#This Row],[CIP '#]],PhasesTable[Projected Expenditures FY 2018]),0)</f>
        <v>200</v>
      </c>
      <c r="Q68" s="229">
        <f>ROUND(SUMIF(PhasesTable[CIP '#],ProjectsTable[[#This Row],[CIP '#]],PhasesTable[Projected Expenditures FY 2019]),0)</f>
        <v>2800</v>
      </c>
      <c r="R68" s="229">
        <f>ROUND(SUMIF(PhasesTable[CIP '#],ProjectsTable[[#This Row],[CIP '#]],PhasesTable[Projected Expenditures FY 2020]),0)</f>
        <v>0</v>
      </c>
      <c r="S68" s="229">
        <f>ROUND(SUMIF(PhasesTable[CIP '#],ProjectsTable[[#This Row],[CIP '#]],PhasesTable[Projected Expenditures FY 2021]),0)</f>
        <v>0</v>
      </c>
      <c r="T68" s="230">
        <f>ROUND(SUMIF(PhasesTable[CIP '#],ProjectsTable[[#This Row],[CIP '#]],PhasesTable[Projected Expenditures FY 2022]),0)</f>
        <v>0</v>
      </c>
      <c r="U68" s="227">
        <f>ROUND(SUMIF(PhasesTable[CIP '#],ProjectsTable[[#This Row],[CIP '#]],PhasesTable[Projected Expenditures FY 2023 &amp; Beyond]),0)</f>
        <v>0</v>
      </c>
      <c r="V68" s="231">
        <f>ROUND(SUMIF(PhasesTable[CIP '#],ProjectsTable[[#This Row],[CIP '#]],PhasesTable[2018-2022 CIP Total]),0)</f>
        <v>3000</v>
      </c>
      <c r="W68" s="232">
        <f>ROUND(SUMIF(PhasesTable[CIP '#],ProjectsTable[[#This Row],[CIP '#]],PhasesTable[Project Total]),0)</f>
        <v>3000</v>
      </c>
      <c r="X68" s="164" t="s">
        <v>57</v>
      </c>
    </row>
    <row r="69" spans="1:24" s="18" customFormat="1" ht="42.75" x14ac:dyDescent="0.45">
      <c r="A69" s="158">
        <v>59</v>
      </c>
      <c r="B69" s="159">
        <v>1294</v>
      </c>
      <c r="C69" s="160" t="s">
        <v>106</v>
      </c>
      <c r="D69" s="161" t="s">
        <v>23</v>
      </c>
      <c r="E69" s="162">
        <v>2014</v>
      </c>
      <c r="F69" s="162">
        <v>132</v>
      </c>
      <c r="G69" s="162">
        <v>132007</v>
      </c>
      <c r="H69" s="162" t="s">
        <v>24</v>
      </c>
      <c r="I69" s="162" t="s">
        <v>24</v>
      </c>
      <c r="J69" s="161" t="s">
        <v>97</v>
      </c>
      <c r="K69" s="161" t="s">
        <v>98</v>
      </c>
      <c r="L69" s="161">
        <v>37.200000000000003</v>
      </c>
      <c r="M69" s="163">
        <v>35.200000000000003</v>
      </c>
      <c r="N69" s="226">
        <f>ROUND(SUMIF(PhasesTable[CIP '#],ProjectsTable[[#This Row],[CIP '#]],PhasesTable[Lifetime Actual Thru FY 2016 (Unaudited)]),0)</f>
        <v>0</v>
      </c>
      <c r="O69" s="227">
        <f>ROUND(SUMIF(PhasesTable[CIP '#],ProjectsTable[[#This Row],[CIP '#]],PhasesTable[Projected Expenditures FY 2017]),0)</f>
        <v>0</v>
      </c>
      <c r="P69" s="228">
        <f>ROUND(SUMIF(PhasesTable[CIP '#],ProjectsTable[[#This Row],[CIP '#]],PhasesTable[Projected Expenditures FY 2018]),0)</f>
        <v>200</v>
      </c>
      <c r="Q69" s="229">
        <f>ROUND(SUMIF(PhasesTable[CIP '#],ProjectsTable[[#This Row],[CIP '#]],PhasesTable[Projected Expenditures FY 2019]),0)</f>
        <v>500</v>
      </c>
      <c r="R69" s="229">
        <f>ROUND(SUMIF(PhasesTable[CIP '#],ProjectsTable[[#This Row],[CIP '#]],PhasesTable[Projected Expenditures FY 2020]),0)</f>
        <v>300</v>
      </c>
      <c r="S69" s="229">
        <f>ROUND(SUMIF(PhasesTable[CIP '#],ProjectsTable[[#This Row],[CIP '#]],PhasesTable[Projected Expenditures FY 2021]),0)</f>
        <v>0</v>
      </c>
      <c r="T69" s="230">
        <f>ROUND(SUMIF(PhasesTable[CIP '#],ProjectsTable[[#This Row],[CIP '#]],PhasesTable[Projected Expenditures FY 2022]),0)</f>
        <v>0</v>
      </c>
      <c r="U69" s="227">
        <f>ROUND(SUMIF(PhasesTable[CIP '#],ProjectsTable[[#This Row],[CIP '#]],PhasesTable[Projected Expenditures FY 2023 &amp; Beyond]),0)</f>
        <v>0</v>
      </c>
      <c r="V69" s="231">
        <f>ROUND(SUMIF(PhasesTable[CIP '#],ProjectsTable[[#This Row],[CIP '#]],PhasesTable[2018-2022 CIP Total]),0)</f>
        <v>1000</v>
      </c>
      <c r="W69" s="232">
        <f>ROUND(SUMIF(PhasesTable[CIP '#],ProjectsTable[[#This Row],[CIP '#]],PhasesTable[Project Total]),0)</f>
        <v>1000</v>
      </c>
      <c r="X69" s="164" t="s">
        <v>28</v>
      </c>
    </row>
    <row r="70" spans="1:24" s="50" customFormat="1" ht="42.75" x14ac:dyDescent="0.45">
      <c r="A70" s="158">
        <v>22</v>
      </c>
      <c r="B70" s="159">
        <v>1295</v>
      </c>
      <c r="C70" s="160" t="s">
        <v>56</v>
      </c>
      <c r="D70" s="161" t="s">
        <v>23</v>
      </c>
      <c r="E70" s="162">
        <v>2014</v>
      </c>
      <c r="F70" s="162">
        <v>114</v>
      </c>
      <c r="G70" s="170">
        <v>114009</v>
      </c>
      <c r="H70" s="162" t="s">
        <v>24</v>
      </c>
      <c r="I70" s="162" t="s">
        <v>24</v>
      </c>
      <c r="J70" s="161" t="s">
        <v>25</v>
      </c>
      <c r="K70" s="161" t="s">
        <v>46</v>
      </c>
      <c r="L70" s="161" t="s">
        <v>27</v>
      </c>
      <c r="M70" s="163" t="s">
        <v>27</v>
      </c>
      <c r="N70" s="226">
        <f>ROUND(SUMIF(PhasesTable[CIP '#],ProjectsTable[[#This Row],[CIP '#]],PhasesTable[Lifetime Actual Thru FY 2016 (Unaudited)]),0)</f>
        <v>0</v>
      </c>
      <c r="O70" s="227">
        <f>ROUND(SUMIF(PhasesTable[CIP '#],ProjectsTable[[#This Row],[CIP '#]],PhasesTable[Projected Expenditures FY 2017]),0)</f>
        <v>450</v>
      </c>
      <c r="P70" s="228">
        <f>ROUND(SUMIF(PhasesTable[CIP '#],ProjectsTable[[#This Row],[CIP '#]],PhasesTable[Projected Expenditures FY 2018]),0)</f>
        <v>0</v>
      </c>
      <c r="Q70" s="229">
        <f>ROUND(SUMIF(PhasesTable[CIP '#],ProjectsTable[[#This Row],[CIP '#]],PhasesTable[Projected Expenditures FY 2019]),0)</f>
        <v>0</v>
      </c>
      <c r="R70" s="229">
        <f>ROUND(SUMIF(PhasesTable[CIP '#],ProjectsTable[[#This Row],[CIP '#]],PhasesTable[Projected Expenditures FY 2020]),0)</f>
        <v>0</v>
      </c>
      <c r="S70" s="229">
        <f>ROUND(SUMIF(PhasesTable[CIP '#],ProjectsTable[[#This Row],[CIP '#]],PhasesTable[Projected Expenditures FY 2021]),0)</f>
        <v>0</v>
      </c>
      <c r="T70" s="230">
        <f>ROUND(SUMIF(PhasesTable[CIP '#],ProjectsTable[[#This Row],[CIP '#]],PhasesTable[Projected Expenditures FY 2022]),0)</f>
        <v>0</v>
      </c>
      <c r="U70" s="227">
        <f>ROUND(SUMIF(PhasesTable[CIP '#],ProjectsTable[[#This Row],[CIP '#]],PhasesTable[Projected Expenditures FY 2023 &amp; Beyond]),0)</f>
        <v>0</v>
      </c>
      <c r="V70" s="231">
        <f>ROUND(SUMIF(PhasesTable[CIP '#],ProjectsTable[[#This Row],[CIP '#]],PhasesTable[2018-2022 CIP Total]),0)</f>
        <v>0</v>
      </c>
      <c r="W70" s="232">
        <f>ROUND(SUMIF(PhasesTable[CIP '#],ProjectsTable[[#This Row],[CIP '#]],PhasesTable[Project Total]),0)</f>
        <v>450</v>
      </c>
      <c r="X70" s="164" t="s">
        <v>57</v>
      </c>
    </row>
    <row r="71" spans="1:24" s="50" customFormat="1" ht="42.75" x14ac:dyDescent="0.45">
      <c r="A71" s="158">
        <v>60</v>
      </c>
      <c r="B71" s="159">
        <v>1296</v>
      </c>
      <c r="C71" s="160" t="s">
        <v>107</v>
      </c>
      <c r="D71" s="161" t="s">
        <v>23</v>
      </c>
      <c r="E71" s="162">
        <v>2014</v>
      </c>
      <c r="F71" s="162">
        <v>132</v>
      </c>
      <c r="G71" s="162">
        <v>132008</v>
      </c>
      <c r="H71" s="162" t="s">
        <v>24</v>
      </c>
      <c r="I71" s="162" t="s">
        <v>24</v>
      </c>
      <c r="J71" s="161" t="s">
        <v>97</v>
      </c>
      <c r="K71" s="161" t="s">
        <v>98</v>
      </c>
      <c r="L71" s="161">
        <v>31.4</v>
      </c>
      <c r="M71" s="163">
        <v>51.199999999999989</v>
      </c>
      <c r="N71" s="226">
        <f>ROUND(SUMIF(PhasesTable[CIP '#],ProjectsTable[[#This Row],[CIP '#]],PhasesTable[Lifetime Actual Thru FY 2016 (Unaudited)]),0)</f>
        <v>0</v>
      </c>
      <c r="O71" s="227">
        <f>ROUND(SUMIF(PhasesTable[CIP '#],ProjectsTable[[#This Row],[CIP '#]],PhasesTable[Projected Expenditures FY 2017]),0)</f>
        <v>500</v>
      </c>
      <c r="P71" s="228">
        <f>ROUND(SUMIF(PhasesTable[CIP '#],ProjectsTable[[#This Row],[CIP '#]],PhasesTable[Projected Expenditures FY 2018]),0)</f>
        <v>1200</v>
      </c>
      <c r="Q71" s="229">
        <f>ROUND(SUMIF(PhasesTable[CIP '#],ProjectsTable[[#This Row],[CIP '#]],PhasesTable[Projected Expenditures FY 2019]),0)</f>
        <v>0</v>
      </c>
      <c r="R71" s="229">
        <f>ROUND(SUMIF(PhasesTable[CIP '#],ProjectsTable[[#This Row],[CIP '#]],PhasesTable[Projected Expenditures FY 2020]),0)</f>
        <v>0</v>
      </c>
      <c r="S71" s="229">
        <f>ROUND(SUMIF(PhasesTable[CIP '#],ProjectsTable[[#This Row],[CIP '#]],PhasesTable[Projected Expenditures FY 2021]),0)</f>
        <v>0</v>
      </c>
      <c r="T71" s="230">
        <f>ROUND(SUMIF(PhasesTable[CIP '#],ProjectsTable[[#This Row],[CIP '#]],PhasesTable[Projected Expenditures FY 2022]),0)</f>
        <v>0</v>
      </c>
      <c r="U71" s="227">
        <f>ROUND(SUMIF(PhasesTable[CIP '#],ProjectsTable[[#This Row],[CIP '#]],PhasesTable[Projected Expenditures FY 2023 &amp; Beyond]),0)</f>
        <v>0</v>
      </c>
      <c r="V71" s="231">
        <f>ROUND(SUMIF(PhasesTable[CIP '#],ProjectsTable[[#This Row],[CIP '#]],PhasesTable[2018-2022 CIP Total]),0)</f>
        <v>1200</v>
      </c>
      <c r="W71" s="232">
        <f>ROUND(SUMIF(PhasesTable[CIP '#],ProjectsTable[[#This Row],[CIP '#]],PhasesTable[Project Total]),0)</f>
        <v>1700</v>
      </c>
      <c r="X71" s="164" t="s">
        <v>28</v>
      </c>
    </row>
    <row r="72" spans="1:24" s="50" customFormat="1" ht="42.75" x14ac:dyDescent="0.45">
      <c r="A72" s="158">
        <v>13</v>
      </c>
      <c r="B72" s="159">
        <v>1297</v>
      </c>
      <c r="C72" s="160" t="s">
        <v>44</v>
      </c>
      <c r="D72" s="161" t="s">
        <v>23</v>
      </c>
      <c r="E72" s="162">
        <v>2014</v>
      </c>
      <c r="F72" s="162">
        <v>113</v>
      </c>
      <c r="G72" s="162">
        <v>113004</v>
      </c>
      <c r="H72" s="162" t="s">
        <v>24</v>
      </c>
      <c r="I72" s="162" t="s">
        <v>24</v>
      </c>
      <c r="J72" s="161" t="s">
        <v>25</v>
      </c>
      <c r="K72" s="161" t="s">
        <v>40</v>
      </c>
      <c r="L72" s="161">
        <v>53.2</v>
      </c>
      <c r="M72" s="163">
        <v>44.800000000000004</v>
      </c>
      <c r="N72" s="226">
        <f>ROUND(SUMIF(PhasesTable[CIP '#],ProjectsTable[[#This Row],[CIP '#]],PhasesTable[Lifetime Actual Thru FY 2016 (Unaudited)]),0)</f>
        <v>0</v>
      </c>
      <c r="O72" s="239">
        <f>ROUND(SUMIF(PhasesTable[CIP '#],ProjectsTable[[#This Row],[CIP '#]],PhasesTable[Projected Expenditures FY 2017]),0)</f>
        <v>100</v>
      </c>
      <c r="P72" s="228">
        <f>ROUND(SUMIF(PhasesTable[CIP '#],ProjectsTable[[#This Row],[CIP '#]],PhasesTable[Projected Expenditures FY 2018]),0)</f>
        <v>3100</v>
      </c>
      <c r="Q72" s="229">
        <f>ROUND(SUMIF(PhasesTable[CIP '#],ProjectsTable[[#This Row],[CIP '#]],PhasesTable[Projected Expenditures FY 2019]),0)</f>
        <v>2309</v>
      </c>
      <c r="R72" s="229">
        <f>ROUND(SUMIF(PhasesTable[CIP '#],ProjectsTable[[#This Row],[CIP '#]],PhasesTable[Projected Expenditures FY 2020]),0)</f>
        <v>0</v>
      </c>
      <c r="S72" s="229">
        <f>ROUND(SUMIF(PhasesTable[CIP '#],ProjectsTable[[#This Row],[CIP '#]],PhasesTable[Projected Expenditures FY 2021]),0)</f>
        <v>0</v>
      </c>
      <c r="T72" s="230">
        <f>ROUND(SUMIF(PhasesTable[CIP '#],ProjectsTable[[#This Row],[CIP '#]],PhasesTable[Projected Expenditures FY 2022]),0)</f>
        <v>0</v>
      </c>
      <c r="U72" s="227">
        <f>ROUND(SUMIF(PhasesTable[CIP '#],ProjectsTable[[#This Row],[CIP '#]],PhasesTable[Projected Expenditures FY 2023 &amp; Beyond]),0)</f>
        <v>0</v>
      </c>
      <c r="V72" s="231">
        <f>ROUND(SUMIF(PhasesTable[CIP '#],ProjectsTable[[#This Row],[CIP '#]],PhasesTable[2018-2022 CIP Total]),0)</f>
        <v>5409</v>
      </c>
      <c r="W72" s="232">
        <f>ROUND(SUMIF(PhasesTable[CIP '#],ProjectsTable[[#This Row],[CIP '#]],PhasesTable[Project Total]),0)</f>
        <v>5509</v>
      </c>
      <c r="X72" s="164" t="s">
        <v>28</v>
      </c>
    </row>
    <row r="73" spans="1:24" s="19" customFormat="1" ht="42.75" x14ac:dyDescent="0.45">
      <c r="A73" s="158">
        <v>4</v>
      </c>
      <c r="B73" s="159">
        <v>1298</v>
      </c>
      <c r="C73" s="160" t="s">
        <v>32</v>
      </c>
      <c r="D73" s="161" t="s">
        <v>23</v>
      </c>
      <c r="E73" s="162">
        <v>2014</v>
      </c>
      <c r="F73" s="162">
        <v>111</v>
      </c>
      <c r="G73" s="162">
        <v>111004</v>
      </c>
      <c r="H73" s="162" t="s">
        <v>24</v>
      </c>
      <c r="I73" s="162" t="s">
        <v>24</v>
      </c>
      <c r="J73" s="161" t="s">
        <v>25</v>
      </c>
      <c r="K73" s="161" t="s">
        <v>26</v>
      </c>
      <c r="L73" s="161">
        <v>46.8</v>
      </c>
      <c r="M73" s="163">
        <v>31.000000000000007</v>
      </c>
      <c r="N73" s="226">
        <f>ROUND(SUMIF(PhasesTable[CIP '#],ProjectsTable[[#This Row],[CIP '#]],PhasesTable[Lifetime Actual Thru FY 2016 (Unaudited)]),0)</f>
        <v>0</v>
      </c>
      <c r="O73" s="227">
        <f>ROUND(SUMIF(PhasesTable[CIP '#],ProjectsTable[[#This Row],[CIP '#]],PhasesTable[Projected Expenditures FY 2017]),0)</f>
        <v>0</v>
      </c>
      <c r="P73" s="228">
        <f>ROUND(SUMIF(PhasesTable[CIP '#],ProjectsTable[[#This Row],[CIP '#]],PhasesTable[Projected Expenditures FY 2018]),0)</f>
        <v>1000</v>
      </c>
      <c r="Q73" s="229">
        <f>ROUND(SUMIF(PhasesTable[CIP '#],ProjectsTable[[#This Row],[CIP '#]],PhasesTable[Projected Expenditures FY 2019]),0)</f>
        <v>3000</v>
      </c>
      <c r="R73" s="229">
        <f>ROUND(SUMIF(PhasesTable[CIP '#],ProjectsTable[[#This Row],[CIP '#]],PhasesTable[Projected Expenditures FY 2020]),0)</f>
        <v>1600</v>
      </c>
      <c r="S73" s="229">
        <f>ROUND(SUMIF(PhasesTable[CIP '#],ProjectsTable[[#This Row],[CIP '#]],PhasesTable[Projected Expenditures FY 2021]),0)</f>
        <v>0</v>
      </c>
      <c r="T73" s="230">
        <f>ROUND(SUMIF(PhasesTable[CIP '#],ProjectsTable[[#This Row],[CIP '#]],PhasesTable[Projected Expenditures FY 2022]),0)</f>
        <v>0</v>
      </c>
      <c r="U73" s="227">
        <f>ROUND(SUMIF(PhasesTable[CIP '#],ProjectsTable[[#This Row],[CIP '#]],PhasesTable[Projected Expenditures FY 2023 &amp; Beyond]),0)</f>
        <v>0</v>
      </c>
      <c r="V73" s="231">
        <f>ROUND(SUMIF(PhasesTable[CIP '#],ProjectsTable[[#This Row],[CIP '#]],PhasesTable[2018-2022 CIP Total]),0)</f>
        <v>5600</v>
      </c>
      <c r="W73" s="232">
        <f>ROUND(SUMIF(PhasesTable[CIP '#],ProjectsTable[[#This Row],[CIP '#]],PhasesTable[Project Total]),0)</f>
        <v>5600</v>
      </c>
      <c r="X73" s="164" t="s">
        <v>28</v>
      </c>
    </row>
    <row r="74" spans="1:24" s="18" customFormat="1" ht="42.75" x14ac:dyDescent="0.45">
      <c r="A74" s="158">
        <v>5</v>
      </c>
      <c r="B74" s="159">
        <v>1299</v>
      </c>
      <c r="C74" s="160" t="s">
        <v>33</v>
      </c>
      <c r="D74" s="161" t="s">
        <v>23</v>
      </c>
      <c r="E74" s="162">
        <v>2014</v>
      </c>
      <c r="F74" s="162">
        <v>111</v>
      </c>
      <c r="G74" s="162">
        <v>111005</v>
      </c>
      <c r="H74" s="162" t="s">
        <v>24</v>
      </c>
      <c r="I74" s="162" t="s">
        <v>24</v>
      </c>
      <c r="J74" s="161" t="s">
        <v>25</v>
      </c>
      <c r="K74" s="161" t="s">
        <v>26</v>
      </c>
      <c r="L74" s="161" t="s">
        <v>27</v>
      </c>
      <c r="M74" s="163" t="s">
        <v>27</v>
      </c>
      <c r="N74" s="226">
        <f>ROUND(SUMIF(PhasesTable[CIP '#],ProjectsTable[[#This Row],[CIP '#]],PhasesTable[Lifetime Actual Thru FY 2016 (Unaudited)]),0)</f>
        <v>0</v>
      </c>
      <c r="O74" s="227">
        <f>ROUND(SUMIF(PhasesTable[CIP '#],ProjectsTable[[#This Row],[CIP '#]],PhasesTable[Projected Expenditures FY 2017]),0)</f>
        <v>600</v>
      </c>
      <c r="P74" s="228">
        <f>ROUND(SUMIF(PhasesTable[CIP '#],ProjectsTable[[#This Row],[CIP '#]],PhasesTable[Projected Expenditures FY 2018]),0)</f>
        <v>323</v>
      </c>
      <c r="Q74" s="229">
        <f>ROUND(SUMIF(PhasesTable[CIP '#],ProjectsTable[[#This Row],[CIP '#]],PhasesTable[Projected Expenditures FY 2019]),0)</f>
        <v>0</v>
      </c>
      <c r="R74" s="229">
        <f>ROUND(SUMIF(PhasesTable[CIP '#],ProjectsTable[[#This Row],[CIP '#]],PhasesTable[Projected Expenditures FY 2020]),0)</f>
        <v>0</v>
      </c>
      <c r="S74" s="229">
        <f>ROUND(SUMIF(PhasesTable[CIP '#],ProjectsTable[[#This Row],[CIP '#]],PhasesTable[Projected Expenditures FY 2021]),0)</f>
        <v>0</v>
      </c>
      <c r="T74" s="230">
        <f>ROUND(SUMIF(PhasesTable[CIP '#],ProjectsTable[[#This Row],[CIP '#]],PhasesTable[Projected Expenditures FY 2022]),0)</f>
        <v>0</v>
      </c>
      <c r="U74" s="227">
        <f>ROUND(SUMIF(PhasesTable[CIP '#],ProjectsTable[[#This Row],[CIP '#]],PhasesTable[Projected Expenditures FY 2023 &amp; Beyond]),0)</f>
        <v>0</v>
      </c>
      <c r="V74" s="231">
        <f>ROUND(SUMIF(PhasesTable[CIP '#],ProjectsTable[[#This Row],[CIP '#]],PhasesTable[2018-2022 CIP Total]),0)</f>
        <v>323</v>
      </c>
      <c r="W74" s="232">
        <f>ROUND(SUMIF(PhasesTable[CIP '#],ProjectsTable[[#This Row],[CIP '#]],PhasesTable[Project Total]),0)</f>
        <v>923</v>
      </c>
      <c r="X74" s="164" t="s">
        <v>34</v>
      </c>
    </row>
    <row r="75" spans="1:24" s="48" customFormat="1" ht="42.75" x14ac:dyDescent="0.45">
      <c r="A75" s="158">
        <v>6</v>
      </c>
      <c r="B75" s="159">
        <v>1300</v>
      </c>
      <c r="C75" s="160" t="s">
        <v>35</v>
      </c>
      <c r="D75" s="161" t="s">
        <v>23</v>
      </c>
      <c r="E75" s="162">
        <v>2014</v>
      </c>
      <c r="F75" s="162">
        <v>111</v>
      </c>
      <c r="G75" s="162">
        <v>111006</v>
      </c>
      <c r="H75" s="162" t="s">
        <v>24</v>
      </c>
      <c r="I75" s="162" t="s">
        <v>24</v>
      </c>
      <c r="J75" s="161" t="s">
        <v>25</v>
      </c>
      <c r="K75" s="161" t="s">
        <v>26</v>
      </c>
      <c r="L75" s="161">
        <v>64.2</v>
      </c>
      <c r="M75" s="163">
        <v>62.2</v>
      </c>
      <c r="N75" s="226">
        <f>ROUND(SUMIF(PhasesTable[CIP '#],ProjectsTable[[#This Row],[CIP '#]],PhasesTable[Lifetime Actual Thru FY 2016 (Unaudited)]),0)</f>
        <v>0</v>
      </c>
      <c r="O75" s="227">
        <f>ROUND(SUMIF(PhasesTable[CIP '#],ProjectsTable[[#This Row],[CIP '#]],PhasesTable[Projected Expenditures FY 2017]),0)</f>
        <v>100</v>
      </c>
      <c r="P75" s="228">
        <f>ROUND(SUMIF(PhasesTable[CIP '#],ProjectsTable[[#This Row],[CIP '#]],PhasesTable[Projected Expenditures FY 2018]),0)</f>
        <v>600</v>
      </c>
      <c r="Q75" s="229">
        <f>ROUND(SUMIF(PhasesTable[CIP '#],ProjectsTable[[#This Row],[CIP '#]],PhasesTable[Projected Expenditures FY 2019]),0)</f>
        <v>12150</v>
      </c>
      <c r="R75" s="229">
        <f>ROUND(SUMIF(PhasesTable[CIP '#],ProjectsTable[[#This Row],[CIP '#]],PhasesTable[Projected Expenditures FY 2020]),0)</f>
        <v>11780</v>
      </c>
      <c r="S75" s="229">
        <f>ROUND(SUMIF(PhasesTable[CIP '#],ProjectsTable[[#This Row],[CIP '#]],PhasesTable[Projected Expenditures FY 2021]),0)</f>
        <v>0</v>
      </c>
      <c r="T75" s="230">
        <f>ROUND(SUMIF(PhasesTable[CIP '#],ProjectsTable[[#This Row],[CIP '#]],PhasesTable[Projected Expenditures FY 2022]),0)</f>
        <v>0</v>
      </c>
      <c r="U75" s="227">
        <f>ROUND(SUMIF(PhasesTable[CIP '#],ProjectsTable[[#This Row],[CIP '#]],PhasesTable[Projected Expenditures FY 2023 &amp; Beyond]),0)</f>
        <v>0</v>
      </c>
      <c r="V75" s="231">
        <f>ROUND(SUMIF(PhasesTable[CIP '#],ProjectsTable[[#This Row],[CIP '#]],PhasesTable[2018-2022 CIP Total]),0)</f>
        <v>24530</v>
      </c>
      <c r="W75" s="232">
        <f>ROUND(SUMIF(PhasesTable[CIP '#],ProjectsTable[[#This Row],[CIP '#]],PhasesTable[Project Total]),0)</f>
        <v>24630</v>
      </c>
      <c r="X75" s="164" t="s">
        <v>28</v>
      </c>
    </row>
    <row r="76" spans="1:24" s="50" customFormat="1" ht="42.75" x14ac:dyDescent="0.45">
      <c r="A76" s="158">
        <v>29</v>
      </c>
      <c r="B76" s="159">
        <v>1301</v>
      </c>
      <c r="C76" s="160" t="s">
        <v>65</v>
      </c>
      <c r="D76" s="161" t="s">
        <v>23</v>
      </c>
      <c r="E76" s="162">
        <v>2014</v>
      </c>
      <c r="F76" s="162">
        <v>115</v>
      </c>
      <c r="G76" s="162">
        <v>115003</v>
      </c>
      <c r="H76" s="162" t="s">
        <v>24</v>
      </c>
      <c r="I76" s="162" t="s">
        <v>24</v>
      </c>
      <c r="J76" s="161" t="s">
        <v>25</v>
      </c>
      <c r="K76" s="161" t="s">
        <v>63</v>
      </c>
      <c r="L76" s="161">
        <v>38</v>
      </c>
      <c r="M76" s="163">
        <v>31.999999999999996</v>
      </c>
      <c r="N76" s="226">
        <f>ROUND(SUMIF(PhasesTable[CIP '#],ProjectsTable[[#This Row],[CIP '#]],PhasesTable[Lifetime Actual Thru FY 2016 (Unaudited)]),0)</f>
        <v>0</v>
      </c>
      <c r="O76" s="227">
        <f>ROUND(SUMIF(PhasesTable[CIP '#],ProjectsTable[[#This Row],[CIP '#]],PhasesTable[Projected Expenditures FY 2017]),0)</f>
        <v>200</v>
      </c>
      <c r="P76" s="228">
        <f>ROUND(SUMIF(PhasesTable[CIP '#],ProjectsTable[[#This Row],[CIP '#]],PhasesTable[Projected Expenditures FY 2018]),0)</f>
        <v>375</v>
      </c>
      <c r="Q76" s="229">
        <f>ROUND(SUMIF(PhasesTable[CIP '#],ProjectsTable[[#This Row],[CIP '#]],PhasesTable[Projected Expenditures FY 2019]),0)</f>
        <v>0</v>
      </c>
      <c r="R76" s="229">
        <f>ROUND(SUMIF(PhasesTable[CIP '#],ProjectsTable[[#This Row],[CIP '#]],PhasesTable[Projected Expenditures FY 2020]),0)</f>
        <v>0</v>
      </c>
      <c r="S76" s="229">
        <f>ROUND(SUMIF(PhasesTable[CIP '#],ProjectsTable[[#This Row],[CIP '#]],PhasesTable[Projected Expenditures FY 2021]),0)</f>
        <v>0</v>
      </c>
      <c r="T76" s="230">
        <f>ROUND(SUMIF(PhasesTable[CIP '#],ProjectsTable[[#This Row],[CIP '#]],PhasesTable[Projected Expenditures FY 2022]),0)</f>
        <v>0</v>
      </c>
      <c r="U76" s="227">
        <f>ROUND(SUMIF(PhasesTable[CIP '#],ProjectsTable[[#This Row],[CIP '#]],PhasesTable[Projected Expenditures FY 2023 &amp; Beyond]),0)</f>
        <v>0</v>
      </c>
      <c r="V76" s="231">
        <f>ROUND(SUMIF(PhasesTable[CIP '#],ProjectsTable[[#This Row],[CIP '#]],PhasesTable[2018-2022 CIP Total]),0)</f>
        <v>375</v>
      </c>
      <c r="W76" s="232">
        <f>ROUND(SUMIF(PhasesTable[CIP '#],ProjectsTable[[#This Row],[CIP '#]],PhasesTable[Project Total]),0)</f>
        <v>575</v>
      </c>
      <c r="X76" s="164" t="s">
        <v>28</v>
      </c>
    </row>
    <row r="77" spans="1:24" s="50" customFormat="1" ht="42.75" x14ac:dyDescent="0.45">
      <c r="A77" s="20">
        <v>84</v>
      </c>
      <c r="B77" s="165">
        <v>1302</v>
      </c>
      <c r="C77" s="166" t="s">
        <v>138</v>
      </c>
      <c r="D77" s="23" t="s">
        <v>23</v>
      </c>
      <c r="E77" s="55">
        <v>2014</v>
      </c>
      <c r="F77" s="55">
        <v>212</v>
      </c>
      <c r="G77" s="55">
        <v>212006</v>
      </c>
      <c r="H77" s="55" t="s">
        <v>119</v>
      </c>
      <c r="I77" s="55" t="s">
        <v>119</v>
      </c>
      <c r="J77" s="55" t="s">
        <v>72</v>
      </c>
      <c r="K77" s="55" t="s">
        <v>133</v>
      </c>
      <c r="L77" s="167" t="s">
        <v>27</v>
      </c>
      <c r="M77" s="168" t="s">
        <v>27</v>
      </c>
      <c r="N77" s="117">
        <f>ROUND(SUMIF(PhasesTable[CIP '#],ProjectsTable[[#This Row],[CIP '#]],PhasesTable[Lifetime Actual Thru FY 2016 (Unaudited)]),0)</f>
        <v>729</v>
      </c>
      <c r="O77" s="117">
        <f>ROUND(SUMIF(PhasesTable[CIP '#],ProjectsTable[[#This Row],[CIP '#]],PhasesTable[Projected Expenditures FY 2017]),0)</f>
        <v>6530</v>
      </c>
      <c r="P77" s="118">
        <f>ROUND(SUMIF(PhasesTable[CIP '#],ProjectsTable[[#This Row],[CIP '#]],PhasesTable[Projected Expenditures FY 2018]),0)</f>
        <v>15800</v>
      </c>
      <c r="Q77" s="119">
        <f>ROUND(SUMIF(PhasesTable[CIP '#],ProjectsTable[[#This Row],[CIP '#]],PhasesTable[Projected Expenditures FY 2019]),0)</f>
        <v>15520</v>
      </c>
      <c r="R77" s="119">
        <f>ROUND(SUMIF(PhasesTable[CIP '#],ProjectsTable[[#This Row],[CIP '#]],PhasesTable[Projected Expenditures FY 2020]),0)</f>
        <v>9020</v>
      </c>
      <c r="S77" s="119">
        <f>ROUND(SUMIF(PhasesTable[CIP '#],ProjectsTable[[#This Row],[CIP '#]],PhasesTable[Projected Expenditures FY 2021]),0)</f>
        <v>0</v>
      </c>
      <c r="T77" s="120">
        <f>ROUND(SUMIF(PhasesTable[CIP '#],ProjectsTable[[#This Row],[CIP '#]],PhasesTable[Projected Expenditures FY 2022]),0)</f>
        <v>0</v>
      </c>
      <c r="U77" s="117">
        <f>ROUND(SUMIF(PhasesTable[CIP '#],ProjectsTable[[#This Row],[CIP '#]],PhasesTable[Projected Expenditures FY 2023 &amp; Beyond]),0)</f>
        <v>0</v>
      </c>
      <c r="V77" s="121">
        <f>ROUND(SUMIF(PhasesTable[CIP '#],ProjectsTable[[#This Row],[CIP '#]],PhasesTable[2018-2022 CIP Total]),0)</f>
        <v>40340</v>
      </c>
      <c r="W77" s="122">
        <f>ROUND(SUMIF(PhasesTable[CIP '#],ProjectsTable[[#This Row],[CIP '#]],PhasesTable[Project Total]),0)</f>
        <v>47599</v>
      </c>
      <c r="X77" s="169" t="s">
        <v>121</v>
      </c>
    </row>
    <row r="78" spans="1:24" s="50" customFormat="1" ht="28.5" x14ac:dyDescent="0.45">
      <c r="A78" s="158">
        <v>65</v>
      </c>
      <c r="B78" s="159">
        <v>1303</v>
      </c>
      <c r="C78" s="160" t="s">
        <v>112</v>
      </c>
      <c r="D78" s="161" t="s">
        <v>70</v>
      </c>
      <c r="E78" s="162">
        <v>2014</v>
      </c>
      <c r="F78" s="162">
        <v>1709</v>
      </c>
      <c r="G78" s="162">
        <v>170900</v>
      </c>
      <c r="H78" s="162" t="s">
        <v>24</v>
      </c>
      <c r="I78" s="162" t="s">
        <v>24</v>
      </c>
      <c r="J78" s="162" t="s">
        <v>323</v>
      </c>
      <c r="K78" s="162" t="s">
        <v>323</v>
      </c>
      <c r="L78" s="161">
        <v>82.8</v>
      </c>
      <c r="M78" s="163" t="s">
        <v>27</v>
      </c>
      <c r="N78" s="226">
        <f>ROUND(SUMIF(PhasesTable[CIP '#],ProjectsTable[[#This Row],[CIP '#]],PhasesTable[Lifetime Actual Thru FY 2016 (Unaudited)]),0)</f>
        <v>0</v>
      </c>
      <c r="O78" s="227">
        <f>ROUND(SUMIF(PhasesTable[CIP '#],ProjectsTable[[#This Row],[CIP '#]],PhasesTable[Projected Expenditures FY 2017]),0)</f>
        <v>500</v>
      </c>
      <c r="P78" s="228">
        <f>ROUND(SUMIF(PhasesTable[CIP '#],ProjectsTable[[#This Row],[CIP '#]],PhasesTable[Projected Expenditures FY 2018]),0)</f>
        <v>4000</v>
      </c>
      <c r="Q78" s="229">
        <f>ROUND(SUMIF(PhasesTable[CIP '#],ProjectsTable[[#This Row],[CIP '#]],PhasesTable[Projected Expenditures FY 2019]),0)</f>
        <v>4000</v>
      </c>
      <c r="R78" s="229">
        <f>ROUND(SUMIF(PhasesTable[CIP '#],ProjectsTable[[#This Row],[CIP '#]],PhasesTable[Projected Expenditures FY 2020]),0)</f>
        <v>4000</v>
      </c>
      <c r="S78" s="229">
        <f>ROUND(SUMIF(PhasesTable[CIP '#],ProjectsTable[[#This Row],[CIP '#]],PhasesTable[Projected Expenditures FY 2021]),0)</f>
        <v>4000</v>
      </c>
      <c r="T78" s="230">
        <f>ROUND(SUMIF(PhasesTable[CIP '#],ProjectsTable[[#This Row],[CIP '#]],PhasesTable[Projected Expenditures FY 2022]),0)</f>
        <v>4000</v>
      </c>
      <c r="U78" s="227">
        <f>ROUND(SUMIF(PhasesTable[CIP '#],ProjectsTable[[#This Row],[CIP '#]],PhasesTable[Projected Expenditures FY 2023 &amp; Beyond]),0)</f>
        <v>0</v>
      </c>
      <c r="V78" s="231">
        <f>ROUND(SUMIF(PhasesTable[CIP '#],ProjectsTable[[#This Row],[CIP '#]],PhasesTable[2018-2022 CIP Total]),0)</f>
        <v>20000</v>
      </c>
      <c r="W78" s="232">
        <f>ROUND(SUMIF(PhasesTable[CIP '#],ProjectsTable[[#This Row],[CIP '#]],PhasesTable[Project Total]),0)</f>
        <v>20500</v>
      </c>
      <c r="X78" s="164" t="s">
        <v>113</v>
      </c>
    </row>
    <row r="79" spans="1:24" s="19" customFormat="1" ht="28.5" x14ac:dyDescent="0.45">
      <c r="A79" s="158">
        <v>39</v>
      </c>
      <c r="B79" s="159">
        <v>1305</v>
      </c>
      <c r="C79" s="160" t="s">
        <v>80</v>
      </c>
      <c r="D79" s="161" t="s">
        <v>23</v>
      </c>
      <c r="E79" s="162">
        <v>2014</v>
      </c>
      <c r="F79" s="162">
        <v>122</v>
      </c>
      <c r="G79" s="162">
        <v>122003</v>
      </c>
      <c r="H79" s="162" t="s">
        <v>24</v>
      </c>
      <c r="I79" s="162" t="s">
        <v>24</v>
      </c>
      <c r="J79" s="161" t="s">
        <v>74</v>
      </c>
      <c r="K79" s="161" t="s">
        <v>75</v>
      </c>
      <c r="L79" s="161">
        <v>28.2</v>
      </c>
      <c r="M79" s="163">
        <v>56.400000000000006</v>
      </c>
      <c r="N79" s="226">
        <f>ROUND(SUMIF(PhasesTable[CIP '#],ProjectsTable[[#This Row],[CIP '#]],PhasesTable[Lifetime Actual Thru FY 2016 (Unaudited)]),0)</f>
        <v>0</v>
      </c>
      <c r="O79" s="227">
        <f>ROUND(SUMIF(PhasesTable[CIP '#],ProjectsTable[[#This Row],[CIP '#]],PhasesTable[Projected Expenditures FY 2017]),0)</f>
        <v>0</v>
      </c>
      <c r="P79" s="228">
        <f>ROUND(SUMIF(PhasesTable[CIP '#],ProjectsTable[[#This Row],[CIP '#]],PhasesTable[Projected Expenditures FY 2018]),0)</f>
        <v>1500</v>
      </c>
      <c r="Q79" s="229">
        <f>ROUND(SUMIF(PhasesTable[CIP '#],ProjectsTable[[#This Row],[CIP '#]],PhasesTable[Projected Expenditures FY 2019]),0)</f>
        <v>5000</v>
      </c>
      <c r="R79" s="229">
        <f>ROUND(SUMIF(PhasesTable[CIP '#],ProjectsTable[[#This Row],[CIP '#]],PhasesTable[Projected Expenditures FY 2020]),0)</f>
        <v>10000</v>
      </c>
      <c r="S79" s="229">
        <f>ROUND(SUMIF(PhasesTable[CIP '#],ProjectsTable[[#This Row],[CIP '#]],PhasesTable[Projected Expenditures FY 2021]),0)</f>
        <v>38000</v>
      </c>
      <c r="T79" s="230">
        <f>ROUND(SUMIF(PhasesTable[CIP '#],ProjectsTable[[#This Row],[CIP '#]],PhasesTable[Projected Expenditures FY 2022]),0)</f>
        <v>38000</v>
      </c>
      <c r="U79" s="227">
        <f>ROUND(SUMIF(PhasesTable[CIP '#],ProjectsTable[[#This Row],[CIP '#]],PhasesTable[Projected Expenditures FY 2023 &amp; Beyond]),0)</f>
        <v>37500</v>
      </c>
      <c r="V79" s="231">
        <f>ROUND(SUMIF(PhasesTable[CIP '#],ProjectsTable[[#This Row],[CIP '#]],PhasesTable[2018-2022 CIP Total]),0)</f>
        <v>92500</v>
      </c>
      <c r="W79" s="232">
        <f>ROUND(SUMIF(PhasesTable[CIP '#],ProjectsTable[[#This Row],[CIP '#]],PhasesTable[Project Total]),0)</f>
        <v>130000</v>
      </c>
      <c r="X79" s="164" t="s">
        <v>28</v>
      </c>
    </row>
    <row r="80" spans="1:24" s="18" customFormat="1" ht="42.75" x14ac:dyDescent="0.45">
      <c r="A80" s="158">
        <v>23</v>
      </c>
      <c r="B80" s="159">
        <v>1306</v>
      </c>
      <c r="C80" s="160" t="s">
        <v>58</v>
      </c>
      <c r="D80" s="161" t="s">
        <v>23</v>
      </c>
      <c r="E80" s="162">
        <v>2012</v>
      </c>
      <c r="F80" s="162">
        <v>114</v>
      </c>
      <c r="G80" s="162">
        <v>114010</v>
      </c>
      <c r="H80" s="162" t="s">
        <v>24</v>
      </c>
      <c r="I80" s="162" t="s">
        <v>24</v>
      </c>
      <c r="J80" s="161" t="s">
        <v>25</v>
      </c>
      <c r="K80" s="161" t="s">
        <v>46</v>
      </c>
      <c r="L80" s="161">
        <v>50.6</v>
      </c>
      <c r="M80" s="163">
        <v>62.199999999999996</v>
      </c>
      <c r="N80" s="226">
        <f>ROUND(SUMIF(PhasesTable[CIP '#],ProjectsTable[[#This Row],[CIP '#]],PhasesTable[Lifetime Actual Thru FY 2016 (Unaudited)]),0)</f>
        <v>0</v>
      </c>
      <c r="O80" s="227">
        <f>ROUND(SUMIF(PhasesTable[CIP '#],ProjectsTable[[#This Row],[CIP '#]],PhasesTable[Projected Expenditures FY 2017]),0)</f>
        <v>0</v>
      </c>
      <c r="P80" s="228">
        <f>ROUND(SUMIF(PhasesTable[CIP '#],ProjectsTable[[#This Row],[CIP '#]],PhasesTable[Projected Expenditures FY 2018]),0)</f>
        <v>0</v>
      </c>
      <c r="Q80" s="229">
        <f>ROUND(SUMIF(PhasesTable[CIP '#],ProjectsTable[[#This Row],[CIP '#]],PhasesTable[Projected Expenditures FY 2019]),0)</f>
        <v>2000</v>
      </c>
      <c r="R80" s="229">
        <f>ROUND(SUMIF(PhasesTable[CIP '#],ProjectsTable[[#This Row],[CIP '#]],PhasesTable[Projected Expenditures FY 2020]),0)</f>
        <v>7000</v>
      </c>
      <c r="S80" s="229">
        <f>ROUND(SUMIF(PhasesTable[CIP '#],ProjectsTable[[#This Row],[CIP '#]],PhasesTable[Projected Expenditures FY 2021]),0)</f>
        <v>8000</v>
      </c>
      <c r="T80" s="230">
        <f>ROUND(SUMIF(PhasesTable[CIP '#],ProjectsTable[[#This Row],[CIP '#]],PhasesTable[Projected Expenditures FY 2022]),0)</f>
        <v>8000</v>
      </c>
      <c r="U80" s="227">
        <f>ROUND(SUMIF(PhasesTable[CIP '#],ProjectsTable[[#This Row],[CIP '#]],PhasesTable[Projected Expenditures FY 2023 &amp; Beyond]),0)</f>
        <v>0</v>
      </c>
      <c r="V80" s="231">
        <f>ROUND(SUMIF(PhasesTable[CIP '#],ProjectsTable[[#This Row],[CIP '#]],PhasesTable[2018-2022 CIP Total]),0)</f>
        <v>25000</v>
      </c>
      <c r="W80" s="232">
        <f>ROUND(SUMIF(PhasesTable[CIP '#],ProjectsTable[[#This Row],[CIP '#]],PhasesTable[Project Total]),0)</f>
        <v>25000</v>
      </c>
      <c r="X80" s="164" t="s">
        <v>28</v>
      </c>
    </row>
    <row r="81" spans="1:24" s="48" customFormat="1" ht="42.75" x14ac:dyDescent="0.45">
      <c r="A81" s="158">
        <v>24</v>
      </c>
      <c r="B81" s="159">
        <v>1307</v>
      </c>
      <c r="C81" s="160" t="s">
        <v>59</v>
      </c>
      <c r="D81" s="161" t="s">
        <v>23</v>
      </c>
      <c r="E81" s="162">
        <v>2012</v>
      </c>
      <c r="F81" s="162">
        <v>114</v>
      </c>
      <c r="G81" s="170">
        <v>114011</v>
      </c>
      <c r="H81" s="162" t="s">
        <v>24</v>
      </c>
      <c r="I81" s="162" t="s">
        <v>24</v>
      </c>
      <c r="J81" s="161" t="s">
        <v>25</v>
      </c>
      <c r="K81" s="161" t="s">
        <v>46</v>
      </c>
      <c r="L81" s="161">
        <v>63.8</v>
      </c>
      <c r="M81" s="163">
        <v>58.8</v>
      </c>
      <c r="N81" s="226">
        <f>ROUND(SUMIF(PhasesTable[CIP '#],ProjectsTable[[#This Row],[CIP '#]],PhasesTable[Lifetime Actual Thru FY 2016 (Unaudited)]),0)</f>
        <v>0</v>
      </c>
      <c r="O81" s="227">
        <f>ROUND(SUMIF(PhasesTable[CIP '#],ProjectsTable[[#This Row],[CIP '#]],PhasesTable[Projected Expenditures FY 2017]),0)</f>
        <v>300</v>
      </c>
      <c r="P81" s="228">
        <f>ROUND(SUMIF(PhasesTable[CIP '#],ProjectsTable[[#This Row],[CIP '#]],PhasesTable[Projected Expenditures FY 2018]),0)</f>
        <v>3450</v>
      </c>
      <c r="Q81" s="229">
        <f>ROUND(SUMIF(PhasesTable[CIP '#],ProjectsTable[[#This Row],[CIP '#]],PhasesTable[Projected Expenditures FY 2019]),0)</f>
        <v>2500</v>
      </c>
      <c r="R81" s="229">
        <f>ROUND(SUMIF(PhasesTable[CIP '#],ProjectsTable[[#This Row],[CIP '#]],PhasesTable[Projected Expenditures FY 2020]),0)</f>
        <v>0</v>
      </c>
      <c r="S81" s="229">
        <f>ROUND(SUMIF(PhasesTable[CIP '#],ProjectsTable[[#This Row],[CIP '#]],PhasesTable[Projected Expenditures FY 2021]),0)</f>
        <v>0</v>
      </c>
      <c r="T81" s="230">
        <f>ROUND(SUMIF(PhasesTable[CIP '#],ProjectsTable[[#This Row],[CIP '#]],PhasesTable[Projected Expenditures FY 2022]),0)</f>
        <v>0</v>
      </c>
      <c r="U81" s="227">
        <f>ROUND(SUMIF(PhasesTable[CIP '#],ProjectsTable[[#This Row],[CIP '#]],PhasesTable[Projected Expenditures FY 2023 &amp; Beyond]),0)</f>
        <v>0</v>
      </c>
      <c r="V81" s="231">
        <f>ROUND(SUMIF(PhasesTable[CIP '#],ProjectsTable[[#This Row],[CIP '#]],PhasesTable[2018-2022 CIP Total]),0)</f>
        <v>5950</v>
      </c>
      <c r="W81" s="232">
        <f>ROUND(SUMIF(PhasesTable[CIP '#],ProjectsTable[[#This Row],[CIP '#]],PhasesTable[Project Total]),0)</f>
        <v>6250</v>
      </c>
      <c r="X81" s="164" t="s">
        <v>28</v>
      </c>
    </row>
    <row r="82" spans="1:24" s="50" customFormat="1" ht="28.5" x14ac:dyDescent="0.45">
      <c r="A82" s="20">
        <v>91</v>
      </c>
      <c r="B82" s="165">
        <v>1309</v>
      </c>
      <c r="C82" s="166" t="s">
        <v>146</v>
      </c>
      <c r="D82" s="23" t="s">
        <v>23</v>
      </c>
      <c r="E82" s="55">
        <v>2016</v>
      </c>
      <c r="F82" s="55">
        <v>213</v>
      </c>
      <c r="G82" s="55">
        <v>213006</v>
      </c>
      <c r="H82" s="55" t="s">
        <v>119</v>
      </c>
      <c r="I82" s="55" t="s">
        <v>119</v>
      </c>
      <c r="J82" s="55" t="s">
        <v>72</v>
      </c>
      <c r="K82" s="55" t="s">
        <v>140</v>
      </c>
      <c r="L82" s="167" t="s">
        <v>27</v>
      </c>
      <c r="M82" s="168" t="s">
        <v>27</v>
      </c>
      <c r="N82" s="117">
        <f>ROUND(SUMIF(PhasesTable[CIP '#],ProjectsTable[[#This Row],[CIP '#]],PhasesTable[Lifetime Actual Thru FY 2016 (Unaudited)]),0)</f>
        <v>0</v>
      </c>
      <c r="O82" s="117">
        <f>ROUND(SUMIF(PhasesTable[CIP '#],ProjectsTable[[#This Row],[CIP '#]],PhasesTable[Projected Expenditures FY 2017]),0)</f>
        <v>33</v>
      </c>
      <c r="P82" s="118">
        <f>ROUND(SUMIF(PhasesTable[CIP '#],ProjectsTable[[#This Row],[CIP '#]],PhasesTable[Projected Expenditures FY 2018]),0)</f>
        <v>402</v>
      </c>
      <c r="Q82" s="119">
        <f>ROUND(SUMIF(PhasesTable[CIP '#],ProjectsTable[[#This Row],[CIP '#]],PhasesTable[Projected Expenditures FY 2019]),0)</f>
        <v>750</v>
      </c>
      <c r="R82" s="119">
        <f>ROUND(SUMIF(PhasesTable[CIP '#],ProjectsTable[[#This Row],[CIP '#]],PhasesTable[Projected Expenditures FY 2020]),0)</f>
        <v>0</v>
      </c>
      <c r="S82" s="119">
        <f>ROUND(SUMIF(PhasesTable[CIP '#],ProjectsTable[[#This Row],[CIP '#]],PhasesTable[Projected Expenditures FY 2021]),0)</f>
        <v>0</v>
      </c>
      <c r="T82" s="120">
        <f>ROUND(SUMIF(PhasesTable[CIP '#],ProjectsTable[[#This Row],[CIP '#]],PhasesTable[Projected Expenditures FY 2022]),0)</f>
        <v>0</v>
      </c>
      <c r="U82" s="117">
        <f>ROUND(SUMIF(PhasesTable[CIP '#],ProjectsTable[[#This Row],[CIP '#]],PhasesTable[Projected Expenditures FY 2023 &amp; Beyond]),0)</f>
        <v>0</v>
      </c>
      <c r="V82" s="121">
        <f>ROUND(SUMIF(PhasesTable[CIP '#],ProjectsTable[[#This Row],[CIP '#]],PhasesTable[2018-2022 CIP Total]),0)</f>
        <v>1152</v>
      </c>
      <c r="W82" s="122">
        <f>ROUND(SUMIF(PhasesTable[CIP '#],ProjectsTable[[#This Row],[CIP '#]],PhasesTable[Project Total]),0)</f>
        <v>1185</v>
      </c>
      <c r="X82" s="169" t="s">
        <v>125</v>
      </c>
    </row>
    <row r="83" spans="1:24" s="50" customFormat="1" ht="28.5" x14ac:dyDescent="0.45">
      <c r="A83" s="20">
        <v>92</v>
      </c>
      <c r="B83" s="165">
        <v>1311</v>
      </c>
      <c r="C83" s="166" t="s">
        <v>147</v>
      </c>
      <c r="D83" s="23" t="s">
        <v>23</v>
      </c>
      <c r="E83" s="55">
        <v>2016</v>
      </c>
      <c r="F83" s="55">
        <v>213</v>
      </c>
      <c r="G83" s="55">
        <v>213007</v>
      </c>
      <c r="H83" s="55" t="s">
        <v>119</v>
      </c>
      <c r="I83" s="55" t="s">
        <v>119</v>
      </c>
      <c r="J83" s="55" t="s">
        <v>72</v>
      </c>
      <c r="K83" s="55" t="s">
        <v>140</v>
      </c>
      <c r="L83" s="168" t="s">
        <v>27</v>
      </c>
      <c r="M83" s="168">
        <v>67.8</v>
      </c>
      <c r="N83" s="117">
        <f>ROUND(SUMIF(PhasesTable[CIP '#],ProjectsTable[[#This Row],[CIP '#]],PhasesTable[Lifetime Actual Thru FY 2016 (Unaudited)]),0)</f>
        <v>0</v>
      </c>
      <c r="O83" s="117">
        <f>ROUND(SUMIF(PhasesTable[CIP '#],ProjectsTable[[#This Row],[CIP '#]],PhasesTable[Projected Expenditures FY 2017]),0)</f>
        <v>1500</v>
      </c>
      <c r="P83" s="118">
        <f>ROUND(SUMIF(PhasesTable[CIP '#],ProjectsTable[[#This Row],[CIP '#]],PhasesTable[Projected Expenditures FY 2018]),0)</f>
        <v>9600</v>
      </c>
      <c r="Q83" s="119">
        <f>ROUND(SUMIF(PhasesTable[CIP '#],ProjectsTable[[#This Row],[CIP '#]],PhasesTable[Projected Expenditures FY 2019]),0)</f>
        <v>7822</v>
      </c>
      <c r="R83" s="119">
        <f>ROUND(SUMIF(PhasesTable[CIP '#],ProjectsTable[[#This Row],[CIP '#]],PhasesTable[Projected Expenditures FY 2020]),0)</f>
        <v>0</v>
      </c>
      <c r="S83" s="119">
        <f>ROUND(SUMIF(PhasesTable[CIP '#],ProjectsTable[[#This Row],[CIP '#]],PhasesTable[Projected Expenditures FY 2021]),0)</f>
        <v>0</v>
      </c>
      <c r="T83" s="120">
        <f>ROUND(SUMIF(PhasesTable[CIP '#],ProjectsTable[[#This Row],[CIP '#]],PhasesTable[Projected Expenditures FY 2022]),0)</f>
        <v>0</v>
      </c>
      <c r="U83" s="117">
        <f>ROUND(SUMIF(PhasesTable[CIP '#],ProjectsTable[[#This Row],[CIP '#]],PhasesTable[Projected Expenditures FY 2023 &amp; Beyond]),0)</f>
        <v>0</v>
      </c>
      <c r="V83" s="121">
        <f>ROUND(SUMIF(PhasesTable[CIP '#],ProjectsTable[[#This Row],[CIP '#]],PhasesTable[2018-2022 CIP Total]),0)</f>
        <v>17422</v>
      </c>
      <c r="W83" s="122">
        <f>ROUND(SUMIF(PhasesTable[CIP '#],ProjectsTable[[#This Row],[CIP '#]],PhasesTable[Project Total]),0)</f>
        <v>18922</v>
      </c>
      <c r="X83" s="169" t="s">
        <v>130</v>
      </c>
    </row>
    <row r="84" spans="1:24" s="67" customFormat="1" ht="28.5" x14ac:dyDescent="0.45">
      <c r="A84" s="20">
        <v>74</v>
      </c>
      <c r="B84" s="165">
        <v>1312</v>
      </c>
      <c r="C84" s="166" t="s">
        <v>127</v>
      </c>
      <c r="D84" s="23" t="s">
        <v>23</v>
      </c>
      <c r="E84" s="55">
        <v>2016</v>
      </c>
      <c r="F84" s="55">
        <v>211</v>
      </c>
      <c r="G84" s="55">
        <v>211006</v>
      </c>
      <c r="H84" s="55" t="s">
        <v>119</v>
      </c>
      <c r="I84" s="55" t="s">
        <v>119</v>
      </c>
      <c r="J84" s="55" t="s">
        <v>72</v>
      </c>
      <c r="K84" s="55" t="s">
        <v>120</v>
      </c>
      <c r="L84" s="168" t="s">
        <v>27</v>
      </c>
      <c r="M84" s="168" t="s">
        <v>27</v>
      </c>
      <c r="N84" s="117">
        <f>ROUND(SUMIF(PhasesTable[CIP '#],ProjectsTable[[#This Row],[CIP '#]],PhasesTable[Lifetime Actual Thru FY 2016 (Unaudited)]),0)</f>
        <v>0</v>
      </c>
      <c r="O84" s="117">
        <f>ROUND(SUMIF(PhasesTable[CIP '#],ProjectsTable[[#This Row],[CIP '#]],PhasesTable[Projected Expenditures FY 2017]),0)</f>
        <v>0</v>
      </c>
      <c r="P84" s="118">
        <f>ROUND(SUMIF(PhasesTable[CIP '#],ProjectsTable[[#This Row],[CIP '#]],PhasesTable[Projected Expenditures FY 2018]),0)</f>
        <v>600</v>
      </c>
      <c r="Q84" s="119">
        <f>ROUND(SUMIF(PhasesTable[CIP '#],ProjectsTable[[#This Row],[CIP '#]],PhasesTable[Projected Expenditures FY 2019]),0)</f>
        <v>5350</v>
      </c>
      <c r="R84" s="119">
        <f>ROUND(SUMIF(PhasesTable[CIP '#],ProjectsTable[[#This Row],[CIP '#]],PhasesTable[Projected Expenditures FY 2020]),0)</f>
        <v>5125</v>
      </c>
      <c r="S84" s="119">
        <f>ROUND(SUMIF(PhasesTable[CIP '#],ProjectsTable[[#This Row],[CIP '#]],PhasesTable[Projected Expenditures FY 2021]),0)</f>
        <v>2054</v>
      </c>
      <c r="T84" s="120">
        <f>ROUND(SUMIF(PhasesTable[CIP '#],ProjectsTable[[#This Row],[CIP '#]],PhasesTable[Projected Expenditures FY 2022]),0)</f>
        <v>0</v>
      </c>
      <c r="U84" s="117">
        <f>ROUND(SUMIF(PhasesTable[CIP '#],ProjectsTable[[#This Row],[CIP '#]],PhasesTable[Projected Expenditures FY 2023 &amp; Beyond]),0)</f>
        <v>0</v>
      </c>
      <c r="V84" s="121">
        <f>ROUND(SUMIF(PhasesTable[CIP '#],ProjectsTable[[#This Row],[CIP '#]],PhasesTable[2018-2022 CIP Total]),0)</f>
        <v>13129</v>
      </c>
      <c r="W84" s="122">
        <f>ROUND(SUMIF(PhasesTable[CIP '#],ProjectsTable[[#This Row],[CIP '#]],PhasesTable[Project Total]),0)</f>
        <v>13129</v>
      </c>
      <c r="X84" s="169" t="s">
        <v>125</v>
      </c>
    </row>
    <row r="85" spans="1:24" s="67" customFormat="1" ht="28.5" x14ac:dyDescent="0.45">
      <c r="A85" s="20">
        <v>75</v>
      </c>
      <c r="B85" s="165">
        <v>1314</v>
      </c>
      <c r="C85" s="166" t="s">
        <v>128</v>
      </c>
      <c r="D85" s="23" t="s">
        <v>23</v>
      </c>
      <c r="E85" s="55">
        <v>2016</v>
      </c>
      <c r="F85" s="55">
        <v>211</v>
      </c>
      <c r="G85" s="55">
        <v>211007</v>
      </c>
      <c r="H85" s="55" t="s">
        <v>119</v>
      </c>
      <c r="I85" s="55" t="s">
        <v>119</v>
      </c>
      <c r="J85" s="55" t="s">
        <v>72</v>
      </c>
      <c r="K85" s="55" t="s">
        <v>120</v>
      </c>
      <c r="L85" s="168" t="s">
        <v>27</v>
      </c>
      <c r="M85" s="168">
        <v>65.199999999999989</v>
      </c>
      <c r="N85" s="117">
        <f>ROUND(SUMIF(PhasesTable[CIP '#],ProjectsTable[[#This Row],[CIP '#]],PhasesTable[Lifetime Actual Thru FY 2016 (Unaudited)]),0)</f>
        <v>0</v>
      </c>
      <c r="O85" s="117">
        <f>ROUND(SUMIF(PhasesTable[CIP '#],ProjectsTable[[#This Row],[CIP '#]],PhasesTable[Projected Expenditures FY 2017]),0)</f>
        <v>0</v>
      </c>
      <c r="P85" s="118">
        <f>ROUND(SUMIF(PhasesTable[CIP '#],ProjectsTable[[#This Row],[CIP '#]],PhasesTable[Projected Expenditures FY 2018]),0)</f>
        <v>650</v>
      </c>
      <c r="Q85" s="119">
        <f>ROUND(SUMIF(PhasesTable[CIP '#],ProjectsTable[[#This Row],[CIP '#]],PhasesTable[Projected Expenditures FY 2019]),0)</f>
        <v>2900</v>
      </c>
      <c r="R85" s="119">
        <f>ROUND(SUMIF(PhasesTable[CIP '#],ProjectsTable[[#This Row],[CIP '#]],PhasesTable[Projected Expenditures FY 2020]),0)</f>
        <v>3300</v>
      </c>
      <c r="S85" s="119">
        <f>ROUND(SUMIF(PhasesTable[CIP '#],ProjectsTable[[#This Row],[CIP '#]],PhasesTable[Projected Expenditures FY 2021]),0)</f>
        <v>2817</v>
      </c>
      <c r="T85" s="120">
        <f>ROUND(SUMIF(PhasesTable[CIP '#],ProjectsTable[[#This Row],[CIP '#]],PhasesTable[Projected Expenditures FY 2022]),0)</f>
        <v>0</v>
      </c>
      <c r="U85" s="117">
        <f>ROUND(SUMIF(PhasesTable[CIP '#],ProjectsTable[[#This Row],[CIP '#]],PhasesTable[Projected Expenditures FY 2023 &amp; Beyond]),0)</f>
        <v>0</v>
      </c>
      <c r="V85" s="121">
        <f>ROUND(SUMIF(PhasesTable[CIP '#],ProjectsTable[[#This Row],[CIP '#]],PhasesTable[2018-2022 CIP Total]),0)</f>
        <v>9667</v>
      </c>
      <c r="W85" s="122">
        <f>ROUND(SUMIF(PhasesTable[CIP '#],ProjectsTable[[#This Row],[CIP '#]],PhasesTable[Project Total]),0)</f>
        <v>9667</v>
      </c>
      <c r="X85" s="169" t="s">
        <v>125</v>
      </c>
    </row>
    <row r="86" spans="1:24" s="48" customFormat="1" ht="28.5" x14ac:dyDescent="0.45">
      <c r="A86" s="20">
        <v>110</v>
      </c>
      <c r="B86" s="165">
        <v>1315</v>
      </c>
      <c r="C86" s="166" t="s">
        <v>166</v>
      </c>
      <c r="D86" s="23" t="s">
        <v>23</v>
      </c>
      <c r="E86" s="55">
        <v>2016</v>
      </c>
      <c r="F86" s="55">
        <v>232</v>
      </c>
      <c r="G86" s="55">
        <v>232002</v>
      </c>
      <c r="H86" s="55" t="s">
        <v>119</v>
      </c>
      <c r="I86" s="55" t="s">
        <v>119</v>
      </c>
      <c r="J86" s="55" t="s">
        <v>97</v>
      </c>
      <c r="K86" s="55" t="s">
        <v>165</v>
      </c>
      <c r="L86" s="168">
        <v>75.8</v>
      </c>
      <c r="M86" s="168">
        <v>79.599999999999994</v>
      </c>
      <c r="N86" s="117">
        <f>ROUND(SUMIF(PhasesTable[CIP '#],ProjectsTable[[#This Row],[CIP '#]],PhasesTable[Lifetime Actual Thru FY 2016 (Unaudited)]),0)</f>
        <v>0</v>
      </c>
      <c r="O86" s="117">
        <f>ROUND(SUMIF(PhasesTable[CIP '#],ProjectsTable[[#This Row],[CIP '#]],PhasesTable[Projected Expenditures FY 2017]),0)</f>
        <v>8040</v>
      </c>
      <c r="P86" s="118">
        <f>ROUND(SUMIF(PhasesTable[CIP '#],ProjectsTable[[#This Row],[CIP '#]],PhasesTable[Projected Expenditures FY 2018]),0)</f>
        <v>5900</v>
      </c>
      <c r="Q86" s="119">
        <f>ROUND(SUMIF(PhasesTable[CIP '#],ProjectsTable[[#This Row],[CIP '#]],PhasesTable[Projected Expenditures FY 2019]),0)</f>
        <v>5100</v>
      </c>
      <c r="R86" s="119">
        <f>ROUND(SUMIF(PhasesTable[CIP '#],ProjectsTable[[#This Row],[CIP '#]],PhasesTable[Projected Expenditures FY 2020]),0)</f>
        <v>2460</v>
      </c>
      <c r="S86" s="119">
        <f>ROUND(SUMIF(PhasesTable[CIP '#],ProjectsTable[[#This Row],[CIP '#]],PhasesTable[Projected Expenditures FY 2021]),0)</f>
        <v>1000</v>
      </c>
      <c r="T86" s="120">
        <f>ROUND(SUMIF(PhasesTable[CIP '#],ProjectsTable[[#This Row],[CIP '#]],PhasesTable[Projected Expenditures FY 2022]),0)</f>
        <v>0</v>
      </c>
      <c r="U86" s="117">
        <f>ROUND(SUMIF(PhasesTable[CIP '#],ProjectsTable[[#This Row],[CIP '#]],PhasesTable[Projected Expenditures FY 2023 &amp; Beyond]),0)</f>
        <v>0</v>
      </c>
      <c r="V86" s="121">
        <f>ROUND(SUMIF(PhasesTable[CIP '#],ProjectsTable[[#This Row],[CIP '#]],PhasesTable[2018-2022 CIP Total]),0)</f>
        <v>14460</v>
      </c>
      <c r="W86" s="122">
        <f>ROUND(SUMIF(PhasesTable[CIP '#],ProjectsTable[[#This Row],[CIP '#]],PhasesTable[Project Total]),0)</f>
        <v>22500</v>
      </c>
      <c r="X86" s="169" t="s">
        <v>85</v>
      </c>
    </row>
    <row r="87" spans="1:24" s="48" customFormat="1" ht="42.75" x14ac:dyDescent="0.45">
      <c r="A87" s="158">
        <v>7</v>
      </c>
      <c r="B87" s="159">
        <v>1318</v>
      </c>
      <c r="C87" s="160" t="s">
        <v>36</v>
      </c>
      <c r="D87" s="161" t="s">
        <v>23</v>
      </c>
      <c r="E87" s="162">
        <v>2016</v>
      </c>
      <c r="F87" s="162">
        <v>111</v>
      </c>
      <c r="G87" s="162">
        <v>111007</v>
      </c>
      <c r="H87" s="162" t="s">
        <v>24</v>
      </c>
      <c r="I87" s="162" t="s">
        <v>24</v>
      </c>
      <c r="J87" s="161" t="s">
        <v>25</v>
      </c>
      <c r="K87" s="161" t="s">
        <v>26</v>
      </c>
      <c r="L87" s="161">
        <v>62.2</v>
      </c>
      <c r="M87" s="163">
        <v>53.199999999999996</v>
      </c>
      <c r="N87" s="226">
        <f>ROUND(SUMIF(PhasesTable[CIP '#],ProjectsTable[[#This Row],[CIP '#]],PhasesTable[Lifetime Actual Thru FY 2016 (Unaudited)]),0)</f>
        <v>0</v>
      </c>
      <c r="O87" s="227">
        <f>ROUND(SUMIF(PhasesTable[CIP '#],ProjectsTable[[#This Row],[CIP '#]],PhasesTable[Projected Expenditures FY 2017]),0)</f>
        <v>0</v>
      </c>
      <c r="P87" s="228">
        <f>ROUND(SUMIF(PhasesTable[CIP '#],ProjectsTable[[#This Row],[CIP '#]],PhasesTable[Projected Expenditures FY 2018]),0)</f>
        <v>50</v>
      </c>
      <c r="Q87" s="229">
        <f>ROUND(SUMIF(PhasesTable[CIP '#],ProjectsTable[[#This Row],[CIP '#]],PhasesTable[Projected Expenditures FY 2019]),0)</f>
        <v>920</v>
      </c>
      <c r="R87" s="229">
        <f>ROUND(SUMIF(PhasesTable[CIP '#],ProjectsTable[[#This Row],[CIP '#]],PhasesTable[Projected Expenditures FY 2020]),0)</f>
        <v>6163</v>
      </c>
      <c r="S87" s="229">
        <f>ROUND(SUMIF(PhasesTable[CIP '#],ProjectsTable[[#This Row],[CIP '#]],PhasesTable[Projected Expenditures FY 2021]),0)</f>
        <v>0</v>
      </c>
      <c r="T87" s="230">
        <f>ROUND(SUMIF(PhasesTable[CIP '#],ProjectsTable[[#This Row],[CIP '#]],PhasesTable[Projected Expenditures FY 2022]),0)</f>
        <v>0</v>
      </c>
      <c r="U87" s="227">
        <f>ROUND(SUMIF(PhasesTable[CIP '#],ProjectsTable[[#This Row],[CIP '#]],PhasesTable[Projected Expenditures FY 2023 &amp; Beyond]),0)</f>
        <v>0</v>
      </c>
      <c r="V87" s="231">
        <f>ROUND(SUMIF(PhasesTable[CIP '#],ProjectsTable[[#This Row],[CIP '#]],PhasesTable[2018-2022 CIP Total]),0)</f>
        <v>7133</v>
      </c>
      <c r="W87" s="232">
        <f>ROUND(SUMIF(PhasesTable[CIP '#],ProjectsTable[[#This Row],[CIP '#]],PhasesTable[Project Total]),0)</f>
        <v>7133</v>
      </c>
      <c r="X87" s="164" t="s">
        <v>28</v>
      </c>
    </row>
    <row r="88" spans="1:24" s="48" customFormat="1" ht="42.75" x14ac:dyDescent="0.45">
      <c r="A88" s="158">
        <v>25</v>
      </c>
      <c r="B88" s="159">
        <v>1320</v>
      </c>
      <c r="C88" s="160" t="s">
        <v>60</v>
      </c>
      <c r="D88" s="161" t="s">
        <v>23</v>
      </c>
      <c r="E88" s="162">
        <v>2016</v>
      </c>
      <c r="F88" s="162">
        <v>114</v>
      </c>
      <c r="G88" s="162">
        <v>114012</v>
      </c>
      <c r="H88" s="162" t="s">
        <v>24</v>
      </c>
      <c r="I88" s="162" t="s">
        <v>24</v>
      </c>
      <c r="J88" s="161" t="s">
        <v>25</v>
      </c>
      <c r="K88" s="161" t="s">
        <v>46</v>
      </c>
      <c r="L88" s="161">
        <v>54.2</v>
      </c>
      <c r="M88" s="163">
        <v>59.400000000000006</v>
      </c>
      <c r="N88" s="226">
        <f>ROUND(SUMIF(PhasesTable[CIP '#],ProjectsTable[[#This Row],[CIP '#]],PhasesTable[Lifetime Actual Thru FY 2016 (Unaudited)]),0)</f>
        <v>0</v>
      </c>
      <c r="O88" s="227">
        <f>ROUND(SUMIF(PhasesTable[CIP '#],ProjectsTable[[#This Row],[CIP '#]],PhasesTable[Projected Expenditures FY 2017]),0)</f>
        <v>3000</v>
      </c>
      <c r="P88" s="228">
        <f>ROUND(SUMIF(PhasesTable[CIP '#],ProjectsTable[[#This Row],[CIP '#]],PhasesTable[Projected Expenditures FY 2018]),0)</f>
        <v>0</v>
      </c>
      <c r="Q88" s="229">
        <f>ROUND(SUMIF(PhasesTable[CIP '#],ProjectsTable[[#This Row],[CIP '#]],PhasesTable[Projected Expenditures FY 2019]),0)</f>
        <v>0</v>
      </c>
      <c r="R88" s="229">
        <f>ROUND(SUMIF(PhasesTable[CIP '#],ProjectsTable[[#This Row],[CIP '#]],PhasesTable[Projected Expenditures FY 2020]),0)</f>
        <v>0</v>
      </c>
      <c r="S88" s="229">
        <f>ROUND(SUMIF(PhasesTable[CIP '#],ProjectsTable[[#This Row],[CIP '#]],PhasesTable[Projected Expenditures FY 2021]),0)</f>
        <v>0</v>
      </c>
      <c r="T88" s="230">
        <f>ROUND(SUMIF(PhasesTable[CIP '#],ProjectsTable[[#This Row],[CIP '#]],PhasesTable[Projected Expenditures FY 2022]),0)</f>
        <v>0</v>
      </c>
      <c r="U88" s="227">
        <f>ROUND(SUMIF(PhasesTable[CIP '#],ProjectsTable[[#This Row],[CIP '#]],PhasesTable[Projected Expenditures FY 2023 &amp; Beyond]),0)</f>
        <v>0</v>
      </c>
      <c r="V88" s="231">
        <f>ROUND(SUMIF(PhasesTable[CIP '#],ProjectsTable[[#This Row],[CIP '#]],PhasesTable[2018-2022 CIP Total]),0)</f>
        <v>0</v>
      </c>
      <c r="W88" s="232">
        <f>ROUND(SUMIF(PhasesTable[CIP '#],ProjectsTable[[#This Row],[CIP '#]],PhasesTable[Project Total]),0)</f>
        <v>3000</v>
      </c>
      <c r="X88" s="164" t="s">
        <v>28</v>
      </c>
    </row>
    <row r="89" spans="1:24" s="43" customFormat="1" ht="28.5" x14ac:dyDescent="0.45">
      <c r="A89" s="158">
        <v>40</v>
      </c>
      <c r="B89" s="159">
        <v>1321</v>
      </c>
      <c r="C89" s="160" t="s">
        <v>81</v>
      </c>
      <c r="D89" s="161" t="s">
        <v>23</v>
      </c>
      <c r="E89" s="162">
        <v>2016</v>
      </c>
      <c r="F89" s="162">
        <v>122</v>
      </c>
      <c r="G89" s="162">
        <v>122004</v>
      </c>
      <c r="H89" s="162" t="s">
        <v>24</v>
      </c>
      <c r="I89" s="162" t="s">
        <v>24</v>
      </c>
      <c r="J89" s="161" t="s">
        <v>74</v>
      </c>
      <c r="K89" s="161" t="s">
        <v>75</v>
      </c>
      <c r="L89" s="161">
        <v>61.6</v>
      </c>
      <c r="M89" s="163">
        <v>65.2</v>
      </c>
      <c r="N89" s="226">
        <f>ROUND(SUMIF(PhasesTable[CIP '#],ProjectsTable[[#This Row],[CIP '#]],PhasesTable[Lifetime Actual Thru FY 2016 (Unaudited)]),0)</f>
        <v>0</v>
      </c>
      <c r="O89" s="227">
        <f>ROUND(SUMIF(PhasesTable[CIP '#],ProjectsTable[[#This Row],[CIP '#]],PhasesTable[Projected Expenditures FY 2017]),0)</f>
        <v>500</v>
      </c>
      <c r="P89" s="228">
        <f>ROUND(SUMIF(PhasesTable[CIP '#],ProjectsTable[[#This Row],[CIP '#]],PhasesTable[Projected Expenditures FY 2018]),0)</f>
        <v>1500</v>
      </c>
      <c r="Q89" s="229">
        <f>ROUND(SUMIF(PhasesTable[CIP '#],ProjectsTable[[#This Row],[CIP '#]],PhasesTable[Projected Expenditures FY 2019]),0)</f>
        <v>6000</v>
      </c>
      <c r="R89" s="229">
        <f>ROUND(SUMIF(PhasesTable[CIP '#],ProjectsTable[[#This Row],[CIP '#]],PhasesTable[Projected Expenditures FY 2020]),0)</f>
        <v>35900</v>
      </c>
      <c r="S89" s="229">
        <f>ROUND(SUMIF(PhasesTable[CIP '#],ProjectsTable[[#This Row],[CIP '#]],PhasesTable[Projected Expenditures FY 2021]),0)</f>
        <v>31700</v>
      </c>
      <c r="T89" s="230">
        <f>ROUND(SUMIF(PhasesTable[CIP '#],ProjectsTable[[#This Row],[CIP '#]],PhasesTable[Projected Expenditures FY 2022]),0)</f>
        <v>31700</v>
      </c>
      <c r="U89" s="227">
        <f>ROUND(SUMIF(PhasesTable[CIP '#],ProjectsTable[[#This Row],[CIP '#]],PhasesTable[Projected Expenditures FY 2023 &amp; Beyond]),0)</f>
        <v>31700</v>
      </c>
      <c r="V89" s="231">
        <f>ROUND(SUMIF(PhasesTable[CIP '#],ProjectsTable[[#This Row],[CIP '#]],PhasesTable[2018-2022 CIP Total]),0)</f>
        <v>106800</v>
      </c>
      <c r="W89" s="232">
        <f>ROUND(SUMIF(PhasesTable[CIP '#],ProjectsTable[[#This Row],[CIP '#]],PhasesTable[Project Total]),0)</f>
        <v>139000</v>
      </c>
      <c r="X89" s="164" t="s">
        <v>28</v>
      </c>
    </row>
    <row r="90" spans="1:24" s="43" customFormat="1" ht="28.5" x14ac:dyDescent="0.45">
      <c r="A90" s="158">
        <v>41</v>
      </c>
      <c r="B90" s="159">
        <v>1323</v>
      </c>
      <c r="C90" s="160" t="s">
        <v>82</v>
      </c>
      <c r="D90" s="161" t="s">
        <v>23</v>
      </c>
      <c r="E90" s="162">
        <v>2016</v>
      </c>
      <c r="F90" s="162">
        <v>122</v>
      </c>
      <c r="G90" s="162">
        <v>122005</v>
      </c>
      <c r="H90" s="162" t="s">
        <v>24</v>
      </c>
      <c r="I90" s="162" t="s">
        <v>24</v>
      </c>
      <c r="J90" s="161" t="s">
        <v>74</v>
      </c>
      <c r="K90" s="161" t="s">
        <v>75</v>
      </c>
      <c r="L90" s="161"/>
      <c r="M90" s="163" t="s">
        <v>27</v>
      </c>
      <c r="N90" s="226">
        <f>ROUND(SUMIF(PhasesTable[CIP '#],ProjectsTable[[#This Row],[CIP '#]],PhasesTable[Lifetime Actual Thru FY 2016 (Unaudited)]),0)</f>
        <v>0</v>
      </c>
      <c r="O90" s="227">
        <f>ROUND(SUMIF(PhasesTable[CIP '#],ProjectsTable[[#This Row],[CIP '#]],PhasesTable[Projected Expenditures FY 2017]),0)</f>
        <v>0</v>
      </c>
      <c r="P90" s="228">
        <f>ROUND(SUMIF(PhasesTable[CIP '#],ProjectsTable[[#This Row],[CIP '#]],PhasesTable[Projected Expenditures FY 2018]),0)</f>
        <v>0</v>
      </c>
      <c r="Q90" s="229">
        <f>ROUND(SUMIF(PhasesTable[CIP '#],ProjectsTable[[#This Row],[CIP '#]],PhasesTable[Projected Expenditures FY 2019]),0)</f>
        <v>7300</v>
      </c>
      <c r="R90" s="229">
        <f>ROUND(SUMIF(PhasesTable[CIP '#],ProjectsTable[[#This Row],[CIP '#]],PhasesTable[Projected Expenditures FY 2020]),0)</f>
        <v>7250</v>
      </c>
      <c r="S90" s="229">
        <f>ROUND(SUMIF(PhasesTable[CIP '#],ProjectsTable[[#This Row],[CIP '#]],PhasesTable[Projected Expenditures FY 2021]),0)</f>
        <v>0</v>
      </c>
      <c r="T90" s="230">
        <f>ROUND(SUMIF(PhasesTable[CIP '#],ProjectsTable[[#This Row],[CIP '#]],PhasesTable[Projected Expenditures FY 2022]),0)</f>
        <v>0</v>
      </c>
      <c r="U90" s="227">
        <f>ROUND(SUMIF(PhasesTable[CIP '#],ProjectsTable[[#This Row],[CIP '#]],PhasesTable[Projected Expenditures FY 2023 &amp; Beyond]),0)</f>
        <v>0</v>
      </c>
      <c r="V90" s="231">
        <f>ROUND(SUMIF(PhasesTable[CIP '#],ProjectsTable[[#This Row],[CIP '#]],PhasesTable[2018-2022 CIP Total]),0)</f>
        <v>14550</v>
      </c>
      <c r="W90" s="232">
        <f>ROUND(SUMIF(PhasesTable[CIP '#],ProjectsTable[[#This Row],[CIP '#]],PhasesTable[Project Total]),0)</f>
        <v>14550</v>
      </c>
      <c r="X90" s="164" t="s">
        <v>76</v>
      </c>
    </row>
    <row r="91" spans="1:24" s="18" customFormat="1" ht="28.5" x14ac:dyDescent="0.45">
      <c r="A91" s="158">
        <v>42</v>
      </c>
      <c r="B91" s="159">
        <v>1324</v>
      </c>
      <c r="C91" s="160" t="s">
        <v>83</v>
      </c>
      <c r="D91" s="161" t="s">
        <v>23</v>
      </c>
      <c r="E91" s="162">
        <v>2016</v>
      </c>
      <c r="F91" s="162">
        <v>122</v>
      </c>
      <c r="G91" s="162">
        <v>122006</v>
      </c>
      <c r="H91" s="162" t="s">
        <v>24</v>
      </c>
      <c r="I91" s="162" t="s">
        <v>24</v>
      </c>
      <c r="J91" s="161" t="s">
        <v>74</v>
      </c>
      <c r="K91" s="161" t="s">
        <v>75</v>
      </c>
      <c r="L91" s="161"/>
      <c r="M91" s="163" t="s">
        <v>27</v>
      </c>
      <c r="N91" s="226">
        <f>ROUND(SUMIF(PhasesTable[CIP '#],ProjectsTable[[#This Row],[CIP '#]],PhasesTable[Lifetime Actual Thru FY 2016 (Unaudited)]),0)</f>
        <v>0</v>
      </c>
      <c r="O91" s="227">
        <f>ROUND(SUMIF(PhasesTable[CIP '#],ProjectsTable[[#This Row],[CIP '#]],PhasesTable[Projected Expenditures FY 2017]),0)</f>
        <v>10000</v>
      </c>
      <c r="P91" s="228">
        <f>ROUND(SUMIF(PhasesTable[CIP '#],ProjectsTable[[#This Row],[CIP '#]],PhasesTable[Projected Expenditures FY 2018]),0)</f>
        <v>9350</v>
      </c>
      <c r="Q91" s="229">
        <f>ROUND(SUMIF(PhasesTable[CIP '#],ProjectsTable[[#This Row],[CIP '#]],PhasesTable[Projected Expenditures FY 2019]),0)</f>
        <v>0</v>
      </c>
      <c r="R91" s="229">
        <f>ROUND(SUMIF(PhasesTable[CIP '#],ProjectsTable[[#This Row],[CIP '#]],PhasesTable[Projected Expenditures FY 2020]),0)</f>
        <v>0</v>
      </c>
      <c r="S91" s="229">
        <f>ROUND(SUMIF(PhasesTable[CIP '#],ProjectsTable[[#This Row],[CIP '#]],PhasesTable[Projected Expenditures FY 2021]),0)</f>
        <v>0</v>
      </c>
      <c r="T91" s="230">
        <f>ROUND(SUMIF(PhasesTable[CIP '#],ProjectsTable[[#This Row],[CIP '#]],PhasesTable[Projected Expenditures FY 2022]),0)</f>
        <v>0</v>
      </c>
      <c r="U91" s="227">
        <f>ROUND(SUMIF(PhasesTable[CIP '#],ProjectsTable[[#This Row],[CIP '#]],PhasesTable[Projected Expenditures FY 2023 &amp; Beyond]),0)</f>
        <v>0</v>
      </c>
      <c r="V91" s="231">
        <f>ROUND(SUMIF(PhasesTable[CIP '#],ProjectsTable[[#This Row],[CIP '#]],PhasesTable[2018-2022 CIP Total]),0)</f>
        <v>9350</v>
      </c>
      <c r="W91" s="232">
        <f>ROUND(SUMIF(PhasesTable[CIP '#],ProjectsTable[[#This Row],[CIP '#]],PhasesTable[Project Total]),0)</f>
        <v>19350</v>
      </c>
      <c r="X91" s="164" t="s">
        <v>76</v>
      </c>
    </row>
    <row r="92" spans="1:24" s="43" customFormat="1" ht="42.75" x14ac:dyDescent="0.45">
      <c r="A92" s="158">
        <v>61</v>
      </c>
      <c r="B92" s="159">
        <v>1325</v>
      </c>
      <c r="C92" s="160" t="s">
        <v>108</v>
      </c>
      <c r="D92" s="161" t="s">
        <v>70</v>
      </c>
      <c r="E92" s="162">
        <v>2016</v>
      </c>
      <c r="F92" s="162">
        <v>1708</v>
      </c>
      <c r="G92" s="162">
        <v>170800</v>
      </c>
      <c r="H92" s="162" t="s">
        <v>24</v>
      </c>
      <c r="I92" s="162" t="s">
        <v>24</v>
      </c>
      <c r="J92" s="162" t="s">
        <v>323</v>
      </c>
      <c r="K92" s="162" t="s">
        <v>323</v>
      </c>
      <c r="L92" s="161" t="s">
        <v>27</v>
      </c>
      <c r="M92" s="163" t="s">
        <v>27</v>
      </c>
      <c r="N92" s="226">
        <f>ROUND(SUMIF(PhasesTable[CIP '#],ProjectsTable[[#This Row],[CIP '#]],PhasesTable[Lifetime Actual Thru FY 2016 (Unaudited)]),0)</f>
        <v>0</v>
      </c>
      <c r="O92" s="227">
        <f>ROUND(SUMIF(PhasesTable[CIP '#],ProjectsTable[[#This Row],[CIP '#]],PhasesTable[Projected Expenditures FY 2017]),0)</f>
        <v>50</v>
      </c>
      <c r="P92" s="228">
        <f>ROUND(SUMIF(PhasesTable[CIP '#],ProjectsTable[[#This Row],[CIP '#]],PhasesTable[Projected Expenditures FY 2018]),0)</f>
        <v>3300</v>
      </c>
      <c r="Q92" s="229">
        <f>ROUND(SUMIF(PhasesTable[CIP '#],ProjectsTable[[#This Row],[CIP '#]],PhasesTable[Projected Expenditures FY 2019]),0)</f>
        <v>2550</v>
      </c>
      <c r="R92" s="229">
        <f>ROUND(SUMIF(PhasesTable[CIP '#],ProjectsTable[[#This Row],[CIP '#]],PhasesTable[Projected Expenditures FY 2020]),0)</f>
        <v>2550</v>
      </c>
      <c r="S92" s="229">
        <f>ROUND(SUMIF(PhasesTable[CIP '#],ProjectsTable[[#This Row],[CIP '#]],PhasesTable[Projected Expenditures FY 2021]),0)</f>
        <v>2550</v>
      </c>
      <c r="T92" s="230">
        <f>ROUND(SUMIF(PhasesTable[CIP '#],ProjectsTable[[#This Row],[CIP '#]],PhasesTable[Projected Expenditures FY 2022]),0)</f>
        <v>0</v>
      </c>
      <c r="U92" s="227">
        <f>ROUND(SUMIF(PhasesTable[CIP '#],ProjectsTable[[#This Row],[CIP '#]],PhasesTable[Projected Expenditures FY 2023 &amp; Beyond]),0)</f>
        <v>0</v>
      </c>
      <c r="V92" s="231">
        <f>ROUND(SUMIF(PhasesTable[CIP '#],ProjectsTable[[#This Row],[CIP '#]],PhasesTable[2018-2022 CIP Total]),0)</f>
        <v>10950</v>
      </c>
      <c r="W92" s="232">
        <f>ROUND(SUMIF(PhasesTable[CIP '#],ProjectsTable[[#This Row],[CIP '#]],PhasesTable[Project Total]),0)</f>
        <v>11000</v>
      </c>
      <c r="X92" s="164" t="s">
        <v>28</v>
      </c>
    </row>
    <row r="93" spans="1:24" s="43" customFormat="1" ht="42.75" x14ac:dyDescent="0.45">
      <c r="A93" s="158">
        <v>43</v>
      </c>
      <c r="B93" s="159">
        <v>1326</v>
      </c>
      <c r="C93" s="160" t="s">
        <v>84</v>
      </c>
      <c r="D93" s="161" t="s">
        <v>23</v>
      </c>
      <c r="E93" s="162">
        <v>2016</v>
      </c>
      <c r="F93" s="162">
        <v>122</v>
      </c>
      <c r="G93" s="162">
        <v>122007</v>
      </c>
      <c r="H93" s="162" t="s">
        <v>24</v>
      </c>
      <c r="I93" s="162" t="s">
        <v>24</v>
      </c>
      <c r="J93" s="161" t="s">
        <v>74</v>
      </c>
      <c r="K93" s="161" t="s">
        <v>75</v>
      </c>
      <c r="L93" s="161"/>
      <c r="M93" s="163" t="s">
        <v>27</v>
      </c>
      <c r="N93" s="226">
        <f>ROUND(SUMIF(PhasesTable[CIP '#],ProjectsTable[[#This Row],[CIP '#]],PhasesTable[Lifetime Actual Thru FY 2016 (Unaudited)]),0)</f>
        <v>0</v>
      </c>
      <c r="O93" s="227">
        <f>ROUND(SUMIF(PhasesTable[CIP '#],ProjectsTable[[#This Row],[CIP '#]],PhasesTable[Projected Expenditures FY 2017]),0)</f>
        <v>0</v>
      </c>
      <c r="P93" s="228">
        <f>ROUND(SUMIF(PhasesTable[CIP '#],ProjectsTable[[#This Row],[CIP '#]],PhasesTable[Projected Expenditures FY 2018]),0)</f>
        <v>1800</v>
      </c>
      <c r="Q93" s="229">
        <f>ROUND(SUMIF(PhasesTable[CIP '#],ProjectsTable[[#This Row],[CIP '#]],PhasesTable[Projected Expenditures FY 2019]),0)</f>
        <v>2200</v>
      </c>
      <c r="R93" s="229">
        <f>ROUND(SUMIF(PhasesTable[CIP '#],ProjectsTable[[#This Row],[CIP '#]],PhasesTable[Projected Expenditures FY 2020]),0)</f>
        <v>0</v>
      </c>
      <c r="S93" s="229">
        <f>ROUND(SUMIF(PhasesTable[CIP '#],ProjectsTable[[#This Row],[CIP '#]],PhasesTable[Projected Expenditures FY 2021]),0)</f>
        <v>0</v>
      </c>
      <c r="T93" s="230">
        <f>ROUND(SUMIF(PhasesTable[CIP '#],ProjectsTable[[#This Row],[CIP '#]],PhasesTable[Projected Expenditures FY 2022]),0)</f>
        <v>0</v>
      </c>
      <c r="U93" s="227">
        <f>ROUND(SUMIF(PhasesTable[CIP '#],ProjectsTable[[#This Row],[CIP '#]],PhasesTable[Projected Expenditures FY 2023 &amp; Beyond]),0)</f>
        <v>0</v>
      </c>
      <c r="V93" s="231">
        <f>ROUND(SUMIF(PhasesTable[CIP '#],ProjectsTable[[#This Row],[CIP '#]],PhasesTable[2018-2022 CIP Total]),0)</f>
        <v>4000</v>
      </c>
      <c r="W93" s="232">
        <f>ROUND(SUMIF(PhasesTable[CIP '#],ProjectsTable[[#This Row],[CIP '#]],PhasesTable[Project Total]),0)</f>
        <v>4000</v>
      </c>
      <c r="X93" s="164" t="s">
        <v>76</v>
      </c>
    </row>
    <row r="94" spans="1:24" s="18" customFormat="1" ht="42.75" x14ac:dyDescent="0.45">
      <c r="A94" s="158">
        <v>31</v>
      </c>
      <c r="B94" s="159">
        <v>1327</v>
      </c>
      <c r="C94" s="160" t="s">
        <v>68</v>
      </c>
      <c r="D94" s="161" t="s">
        <v>23</v>
      </c>
      <c r="E94" s="162">
        <v>2016</v>
      </c>
      <c r="F94" s="162">
        <v>116</v>
      </c>
      <c r="G94" s="162">
        <v>116002</v>
      </c>
      <c r="H94" s="162" t="s">
        <v>24</v>
      </c>
      <c r="I94" s="162" t="s">
        <v>24</v>
      </c>
      <c r="J94" s="161" t="s">
        <v>25</v>
      </c>
      <c r="K94" s="161" t="s">
        <v>67</v>
      </c>
      <c r="L94" s="161">
        <v>58.8</v>
      </c>
      <c r="M94" s="163">
        <v>64.399999999999991</v>
      </c>
      <c r="N94" s="226">
        <f>ROUND(SUMIF(PhasesTable[CIP '#],ProjectsTable[[#This Row],[CIP '#]],PhasesTable[Lifetime Actual Thru FY 2016 (Unaudited)]),0)</f>
        <v>0</v>
      </c>
      <c r="O94" s="227">
        <f>ROUND(SUMIF(PhasesTable[CIP '#],ProjectsTable[[#This Row],[CIP '#]],PhasesTable[Projected Expenditures FY 2017]),0)</f>
        <v>500</v>
      </c>
      <c r="P94" s="228">
        <f>ROUND(SUMIF(PhasesTable[CIP '#],ProjectsTable[[#This Row],[CIP '#]],PhasesTable[Projected Expenditures FY 2018]),0)</f>
        <v>2000</v>
      </c>
      <c r="Q94" s="229">
        <f>ROUND(SUMIF(PhasesTable[CIP '#],ProjectsTable[[#This Row],[CIP '#]],PhasesTable[Projected Expenditures FY 2019]),0)</f>
        <v>10000</v>
      </c>
      <c r="R94" s="229">
        <f>ROUND(SUMIF(PhasesTable[CIP '#],ProjectsTable[[#This Row],[CIP '#]],PhasesTable[Projected Expenditures FY 2020]),0)</f>
        <v>15000</v>
      </c>
      <c r="S94" s="229">
        <f>ROUND(SUMIF(PhasesTable[CIP '#],ProjectsTable[[#This Row],[CIP '#]],PhasesTable[Projected Expenditures FY 2021]),0)</f>
        <v>4900</v>
      </c>
      <c r="T94" s="230">
        <f>ROUND(SUMIF(PhasesTable[CIP '#],ProjectsTable[[#This Row],[CIP '#]],PhasesTable[Projected Expenditures FY 2022]),0)</f>
        <v>0</v>
      </c>
      <c r="U94" s="227">
        <f>ROUND(SUMIF(PhasesTable[CIP '#],ProjectsTable[[#This Row],[CIP '#]],PhasesTable[Projected Expenditures FY 2023 &amp; Beyond]),0)</f>
        <v>0</v>
      </c>
      <c r="V94" s="231">
        <f>ROUND(SUMIF(PhasesTable[CIP '#],ProjectsTable[[#This Row],[CIP '#]],PhasesTable[2018-2022 CIP Total]),0)</f>
        <v>31900</v>
      </c>
      <c r="W94" s="232">
        <f>ROUND(SUMIF(PhasesTable[CIP '#],ProjectsTable[[#This Row],[CIP '#]],PhasesTable[Project Total]),0)</f>
        <v>32400</v>
      </c>
      <c r="X94" s="164" t="s">
        <v>28</v>
      </c>
    </row>
    <row r="95" spans="1:24" s="43" customFormat="1" ht="28.5" x14ac:dyDescent="0.45">
      <c r="A95" s="20">
        <v>105</v>
      </c>
      <c r="B95" s="165">
        <v>1329</v>
      </c>
      <c r="C95" s="166" t="s">
        <v>160</v>
      </c>
      <c r="D95" s="23" t="s">
        <v>23</v>
      </c>
      <c r="E95" s="55">
        <v>2016</v>
      </c>
      <c r="F95" s="55">
        <v>222</v>
      </c>
      <c r="G95" s="55">
        <v>222002</v>
      </c>
      <c r="H95" s="55" t="s">
        <v>119</v>
      </c>
      <c r="I95" s="55" t="s">
        <v>119</v>
      </c>
      <c r="J95" s="55" t="s">
        <v>74</v>
      </c>
      <c r="K95" s="55" t="s">
        <v>158</v>
      </c>
      <c r="L95" s="168">
        <v>73.2</v>
      </c>
      <c r="M95" s="168">
        <v>65.400000000000006</v>
      </c>
      <c r="N95" s="117">
        <f>ROUND(SUMIF(PhasesTable[CIP '#],ProjectsTable[[#This Row],[CIP '#]],PhasesTable[Lifetime Actual Thru FY 2016 (Unaudited)]),0)</f>
        <v>0</v>
      </c>
      <c r="O95" s="117">
        <f>ROUND(SUMIF(PhasesTable[CIP '#],ProjectsTable[[#This Row],[CIP '#]],PhasesTable[Projected Expenditures FY 2017]),0)</f>
        <v>321</v>
      </c>
      <c r="P95" s="118">
        <f>ROUND(SUMIF(PhasesTable[CIP '#],ProjectsTable[[#This Row],[CIP '#]],PhasesTable[Projected Expenditures FY 2018]),0)</f>
        <v>10000</v>
      </c>
      <c r="Q95" s="119">
        <f>ROUND(SUMIF(PhasesTable[CIP '#],ProjectsTable[[#This Row],[CIP '#]],PhasesTable[Projected Expenditures FY 2019]),0)</f>
        <v>5000</v>
      </c>
      <c r="R95" s="119">
        <f>ROUND(SUMIF(PhasesTable[CIP '#],ProjectsTable[[#This Row],[CIP '#]],PhasesTable[Projected Expenditures FY 2020]),0)</f>
        <v>5000</v>
      </c>
      <c r="S95" s="119">
        <f>ROUND(SUMIF(PhasesTable[CIP '#],ProjectsTable[[#This Row],[CIP '#]],PhasesTable[Projected Expenditures FY 2021]),0)</f>
        <v>0</v>
      </c>
      <c r="T95" s="120">
        <f>ROUND(SUMIF(PhasesTable[CIP '#],ProjectsTable[[#This Row],[CIP '#]],PhasesTable[Projected Expenditures FY 2022]),0)</f>
        <v>0</v>
      </c>
      <c r="U95" s="117">
        <f>ROUND(SUMIF(PhasesTable[CIP '#],ProjectsTable[[#This Row],[CIP '#]],PhasesTable[Projected Expenditures FY 2023 &amp; Beyond]),0)</f>
        <v>0</v>
      </c>
      <c r="V95" s="121">
        <f>ROUND(SUMIF(PhasesTable[CIP '#],ProjectsTable[[#This Row],[CIP '#]],PhasesTable[2018-2022 CIP Total]),0)</f>
        <v>20000</v>
      </c>
      <c r="W95" s="122">
        <f>ROUND(SUMIF(PhasesTable[CIP '#],ProjectsTable[[#This Row],[CIP '#]],PhasesTable[Project Total]),0)</f>
        <v>20321</v>
      </c>
      <c r="X95" s="169" t="s">
        <v>85</v>
      </c>
    </row>
    <row r="96" spans="1:24" s="18" customFormat="1" ht="28.5" x14ac:dyDescent="0.45">
      <c r="A96" s="20">
        <v>114</v>
      </c>
      <c r="B96" s="165">
        <v>1330</v>
      </c>
      <c r="C96" s="166" t="s">
        <v>171</v>
      </c>
      <c r="D96" s="23" t="s">
        <v>70</v>
      </c>
      <c r="E96" s="55">
        <v>2016</v>
      </c>
      <c r="F96" s="55">
        <v>2603</v>
      </c>
      <c r="G96" s="55">
        <v>260300</v>
      </c>
      <c r="H96" s="55" t="s">
        <v>119</v>
      </c>
      <c r="I96" s="55" t="s">
        <v>119</v>
      </c>
      <c r="J96" s="55" t="s">
        <v>323</v>
      </c>
      <c r="K96" s="55" t="s">
        <v>323</v>
      </c>
      <c r="L96" s="168" t="s">
        <v>27</v>
      </c>
      <c r="M96" s="168" t="s">
        <v>27</v>
      </c>
      <c r="N96" s="117">
        <f>ROUND(SUMIF(PhasesTable[CIP '#],ProjectsTable[[#This Row],[CIP '#]],PhasesTable[Lifetime Actual Thru FY 2016 (Unaudited)]),0)</f>
        <v>0</v>
      </c>
      <c r="O96" s="117">
        <f>ROUND(SUMIF(PhasesTable[CIP '#],ProjectsTable[[#This Row],[CIP '#]],PhasesTable[Projected Expenditures FY 2017]),0)</f>
        <v>500</v>
      </c>
      <c r="P96" s="118">
        <f>ROUND(SUMIF(PhasesTable[CIP '#],ProjectsTable[[#This Row],[CIP '#]],PhasesTable[Projected Expenditures FY 2018]),0)</f>
        <v>5000</v>
      </c>
      <c r="Q96" s="119">
        <f>ROUND(SUMIF(PhasesTable[CIP '#],ProjectsTable[[#This Row],[CIP '#]],PhasesTable[Projected Expenditures FY 2019]),0)</f>
        <v>5000</v>
      </c>
      <c r="R96" s="119">
        <f>ROUND(SUMIF(PhasesTable[CIP '#],ProjectsTable[[#This Row],[CIP '#]],PhasesTable[Projected Expenditures FY 2020]),0)</f>
        <v>5000</v>
      </c>
      <c r="S96" s="119">
        <f>ROUND(SUMIF(PhasesTable[CIP '#],ProjectsTable[[#This Row],[CIP '#]],PhasesTable[Projected Expenditures FY 2021]),0)</f>
        <v>5000</v>
      </c>
      <c r="T96" s="120">
        <f>ROUND(SUMIF(PhasesTable[CIP '#],ProjectsTable[[#This Row],[CIP '#]],PhasesTable[Projected Expenditures FY 2022]),0)</f>
        <v>5000</v>
      </c>
      <c r="U96" s="117">
        <f>ROUND(SUMIF(PhasesTable[CIP '#],ProjectsTable[[#This Row],[CIP '#]],PhasesTable[Projected Expenditures FY 2023 &amp; Beyond]),0)</f>
        <v>0</v>
      </c>
      <c r="V96" s="121">
        <f>ROUND(SUMIF(PhasesTable[CIP '#],ProjectsTable[[#This Row],[CIP '#]],PhasesTable[2018-2022 CIP Total]),0)</f>
        <v>25000</v>
      </c>
      <c r="W96" s="122">
        <f>ROUND(SUMIF(PhasesTable[CIP '#],ProjectsTable[[#This Row],[CIP '#]],PhasesTable[Project Total]),0)</f>
        <v>25500</v>
      </c>
      <c r="X96" s="169" t="s">
        <v>79</v>
      </c>
    </row>
    <row r="97" spans="1:24" s="43" customFormat="1" ht="28.5" x14ac:dyDescent="0.45">
      <c r="A97" s="20">
        <v>111</v>
      </c>
      <c r="B97" s="165">
        <v>1331</v>
      </c>
      <c r="C97" s="166" t="s">
        <v>167</v>
      </c>
      <c r="D97" s="23" t="s">
        <v>23</v>
      </c>
      <c r="E97" s="55">
        <v>2016</v>
      </c>
      <c r="F97" s="55">
        <v>232</v>
      </c>
      <c r="G97" s="55">
        <v>232003</v>
      </c>
      <c r="H97" s="55" t="s">
        <v>119</v>
      </c>
      <c r="I97" s="55" t="s">
        <v>119</v>
      </c>
      <c r="J97" s="55" t="s">
        <v>97</v>
      </c>
      <c r="K97" s="55" t="s">
        <v>165</v>
      </c>
      <c r="L97" s="168">
        <v>65.2</v>
      </c>
      <c r="M97" s="168">
        <v>89</v>
      </c>
      <c r="N97" s="117">
        <f>ROUND(SUMIF(PhasesTable[CIP '#],ProjectsTable[[#This Row],[CIP '#]],PhasesTable[Lifetime Actual Thru FY 2016 (Unaudited)]),0)</f>
        <v>0</v>
      </c>
      <c r="O97" s="117">
        <f>ROUND(SUMIF(PhasesTable[CIP '#],ProjectsTable[[#This Row],[CIP '#]],PhasesTable[Projected Expenditures FY 2017]),0)</f>
        <v>0</v>
      </c>
      <c r="P97" s="118">
        <f>ROUND(SUMIF(PhasesTable[CIP '#],ProjectsTable[[#This Row],[CIP '#]],PhasesTable[Projected Expenditures FY 2018]),0)</f>
        <v>2408</v>
      </c>
      <c r="Q97" s="119">
        <f>ROUND(SUMIF(PhasesTable[CIP '#],ProjectsTable[[#This Row],[CIP '#]],PhasesTable[Projected Expenditures FY 2019]),0)</f>
        <v>10920</v>
      </c>
      <c r="R97" s="119">
        <f>ROUND(SUMIF(PhasesTable[CIP '#],ProjectsTable[[#This Row],[CIP '#]],PhasesTable[Projected Expenditures FY 2020]),0)</f>
        <v>13000</v>
      </c>
      <c r="S97" s="119">
        <f>ROUND(SUMIF(PhasesTable[CIP '#],ProjectsTable[[#This Row],[CIP '#]],PhasesTable[Projected Expenditures FY 2021]),0)</f>
        <v>0</v>
      </c>
      <c r="T97" s="120">
        <f>ROUND(SUMIF(PhasesTable[CIP '#],ProjectsTable[[#This Row],[CIP '#]],PhasesTable[Projected Expenditures FY 2022]),0)</f>
        <v>0</v>
      </c>
      <c r="U97" s="117">
        <f>ROUND(SUMIF(PhasesTable[CIP '#],ProjectsTable[[#This Row],[CIP '#]],PhasesTable[Projected Expenditures FY 2023 &amp; Beyond]),0)</f>
        <v>0</v>
      </c>
      <c r="V97" s="121">
        <f>ROUND(SUMIF(PhasesTable[CIP '#],ProjectsTable[[#This Row],[CIP '#]],PhasesTable[2018-2022 CIP Total]),0)</f>
        <v>26328</v>
      </c>
      <c r="W97" s="122">
        <f>ROUND(SUMIF(PhasesTable[CIP '#],ProjectsTable[[#This Row],[CIP '#]],PhasesTable[Project Total]),0)</f>
        <v>26328</v>
      </c>
      <c r="X97" s="169" t="s">
        <v>85</v>
      </c>
    </row>
    <row r="98" spans="1:24" s="43" customFormat="1" ht="28.5" x14ac:dyDescent="0.45">
      <c r="A98" s="20">
        <v>106</v>
      </c>
      <c r="B98" s="165">
        <v>1332</v>
      </c>
      <c r="C98" s="166" t="s">
        <v>161</v>
      </c>
      <c r="D98" s="23" t="s">
        <v>23</v>
      </c>
      <c r="E98" s="55">
        <v>2016</v>
      </c>
      <c r="F98" s="55">
        <v>222</v>
      </c>
      <c r="G98" s="55">
        <v>222003</v>
      </c>
      <c r="H98" s="55" t="s">
        <v>119</v>
      </c>
      <c r="I98" s="55" t="s">
        <v>119</v>
      </c>
      <c r="J98" s="55" t="s">
        <v>74</v>
      </c>
      <c r="K98" s="55" t="s">
        <v>158</v>
      </c>
      <c r="L98" s="168">
        <v>73.2</v>
      </c>
      <c r="M98" s="168">
        <v>65.400000000000006</v>
      </c>
      <c r="N98" s="117">
        <f>ROUND(SUMIF(PhasesTable[CIP '#],ProjectsTable[[#This Row],[CIP '#]],PhasesTable[Lifetime Actual Thru FY 2016 (Unaudited)]),0)</f>
        <v>0</v>
      </c>
      <c r="O98" s="117">
        <f>ROUND(SUMIF(PhasesTable[CIP '#],ProjectsTable[[#This Row],[CIP '#]],PhasesTable[Projected Expenditures FY 2017]),0)</f>
        <v>0</v>
      </c>
      <c r="P98" s="118">
        <f>ROUND(SUMIF(PhasesTable[CIP '#],ProjectsTable[[#This Row],[CIP '#]],PhasesTable[Projected Expenditures FY 2018]),0)</f>
        <v>11000</v>
      </c>
      <c r="Q98" s="119">
        <f>ROUND(SUMIF(PhasesTable[CIP '#],ProjectsTable[[#This Row],[CIP '#]],PhasesTable[Projected Expenditures FY 2019]),0)</f>
        <v>12000</v>
      </c>
      <c r="R98" s="119">
        <f>ROUND(SUMIF(PhasesTable[CIP '#],ProjectsTable[[#This Row],[CIP '#]],PhasesTable[Projected Expenditures FY 2020]),0)</f>
        <v>3000</v>
      </c>
      <c r="S98" s="119">
        <f>ROUND(SUMIF(PhasesTable[CIP '#],ProjectsTable[[#This Row],[CIP '#]],PhasesTable[Projected Expenditures FY 2021]),0)</f>
        <v>0</v>
      </c>
      <c r="T98" s="120">
        <f>ROUND(SUMIF(PhasesTable[CIP '#],ProjectsTable[[#This Row],[CIP '#]],PhasesTable[Projected Expenditures FY 2022]),0)</f>
        <v>0</v>
      </c>
      <c r="U98" s="117">
        <f>ROUND(SUMIF(PhasesTable[CIP '#],ProjectsTable[[#This Row],[CIP '#]],PhasesTable[Projected Expenditures FY 2023 &amp; Beyond]),0)</f>
        <v>0</v>
      </c>
      <c r="V98" s="121">
        <f>ROUND(SUMIF(PhasesTable[CIP '#],ProjectsTable[[#This Row],[CIP '#]],PhasesTable[2018-2022 CIP Total]),0)</f>
        <v>26000</v>
      </c>
      <c r="W98" s="122">
        <f>ROUND(SUMIF(PhasesTable[CIP '#],ProjectsTable[[#This Row],[CIP '#]],PhasesTable[Project Total]),0)</f>
        <v>26000</v>
      </c>
      <c r="X98" s="169" t="s">
        <v>85</v>
      </c>
    </row>
    <row r="99" spans="1:24" s="43" customFormat="1" ht="42.75" x14ac:dyDescent="0.45">
      <c r="A99" s="158">
        <v>62</v>
      </c>
      <c r="B99" s="159">
        <v>1334</v>
      </c>
      <c r="C99" s="160" t="s">
        <v>109</v>
      </c>
      <c r="D99" s="161" t="s">
        <v>23</v>
      </c>
      <c r="E99" s="162">
        <v>2015</v>
      </c>
      <c r="F99" s="162">
        <v>132</v>
      </c>
      <c r="G99" s="162">
        <v>132009</v>
      </c>
      <c r="H99" s="162" t="s">
        <v>24</v>
      </c>
      <c r="I99" s="162" t="s">
        <v>24</v>
      </c>
      <c r="J99" s="161" t="s">
        <v>97</v>
      </c>
      <c r="K99" s="161" t="s">
        <v>98</v>
      </c>
      <c r="L99" s="161">
        <v>25.6</v>
      </c>
      <c r="M99" s="163">
        <v>55.599999999999994</v>
      </c>
      <c r="N99" s="226">
        <f>ROUND(SUMIF(PhasesTable[CIP '#],ProjectsTable[[#This Row],[CIP '#]],PhasesTable[Lifetime Actual Thru FY 2016 (Unaudited)]),0)</f>
        <v>0</v>
      </c>
      <c r="O99" s="227">
        <f>ROUND(SUMIF(PhasesTable[CIP '#],ProjectsTable[[#This Row],[CIP '#]],PhasesTable[Projected Expenditures FY 2017]),0)</f>
        <v>400</v>
      </c>
      <c r="P99" s="228">
        <f>ROUND(SUMIF(PhasesTable[CIP '#],ProjectsTable[[#This Row],[CIP '#]],PhasesTable[Projected Expenditures FY 2018]),0)</f>
        <v>100</v>
      </c>
      <c r="Q99" s="229">
        <f>ROUND(SUMIF(PhasesTable[CIP '#],ProjectsTable[[#This Row],[CIP '#]],PhasesTable[Projected Expenditures FY 2019]),0)</f>
        <v>0</v>
      </c>
      <c r="R99" s="229">
        <f>ROUND(SUMIF(PhasesTable[CIP '#],ProjectsTable[[#This Row],[CIP '#]],PhasesTable[Projected Expenditures FY 2020]),0)</f>
        <v>0</v>
      </c>
      <c r="S99" s="229">
        <f>ROUND(SUMIF(PhasesTable[CIP '#],ProjectsTable[[#This Row],[CIP '#]],PhasesTable[Projected Expenditures FY 2021]),0)</f>
        <v>0</v>
      </c>
      <c r="T99" s="230">
        <f>ROUND(SUMIF(PhasesTable[CIP '#],ProjectsTable[[#This Row],[CIP '#]],PhasesTable[Projected Expenditures FY 2022]),0)</f>
        <v>0</v>
      </c>
      <c r="U99" s="227">
        <f>ROUND(SUMIF(PhasesTable[CIP '#],ProjectsTable[[#This Row],[CIP '#]],PhasesTable[Projected Expenditures FY 2023 &amp; Beyond]),0)</f>
        <v>0</v>
      </c>
      <c r="V99" s="231">
        <f>ROUND(SUMIF(PhasesTable[CIP '#],ProjectsTable[[#This Row],[CIP '#]],PhasesTable[2018-2022 CIP Total]),0)</f>
        <v>100</v>
      </c>
      <c r="W99" s="232">
        <f>ROUND(SUMIF(PhasesTable[CIP '#],ProjectsTable[[#This Row],[CIP '#]],PhasesTable[Project Total]),0)</f>
        <v>500</v>
      </c>
      <c r="X99" s="164" t="s">
        <v>28</v>
      </c>
    </row>
    <row r="100" spans="1:24" s="43" customFormat="1" ht="42.75" x14ac:dyDescent="0.45">
      <c r="A100" s="158">
        <v>63</v>
      </c>
      <c r="B100" s="159">
        <v>1336</v>
      </c>
      <c r="C100" s="160" t="s">
        <v>110</v>
      </c>
      <c r="D100" s="161" t="s">
        <v>23</v>
      </c>
      <c r="E100" s="162">
        <v>2017</v>
      </c>
      <c r="F100" s="162">
        <v>132</v>
      </c>
      <c r="G100" s="162">
        <v>132010</v>
      </c>
      <c r="H100" s="162" t="s">
        <v>24</v>
      </c>
      <c r="I100" s="162" t="s">
        <v>24</v>
      </c>
      <c r="J100" s="162" t="s">
        <v>97</v>
      </c>
      <c r="K100" s="161" t="s">
        <v>98</v>
      </c>
      <c r="L100" s="161">
        <v>52.6</v>
      </c>
      <c r="M100" s="163">
        <v>54</v>
      </c>
      <c r="N100" s="226">
        <f>ROUND(SUMIF(PhasesTable[CIP '#],ProjectsTable[[#This Row],[CIP '#]],PhasesTable[Lifetime Actual Thru FY 2016 (Unaudited)]),0)</f>
        <v>0</v>
      </c>
      <c r="O100" s="227">
        <f>ROUND(SUMIF(PhasesTable[CIP '#],ProjectsTable[[#This Row],[CIP '#]],PhasesTable[Projected Expenditures FY 2017]),0)</f>
        <v>0</v>
      </c>
      <c r="P100" s="228">
        <f>ROUND(SUMIF(PhasesTable[CIP '#],ProjectsTable[[#This Row],[CIP '#]],PhasesTable[Projected Expenditures FY 2018]),0)</f>
        <v>4200</v>
      </c>
      <c r="Q100" s="229">
        <f>ROUND(SUMIF(PhasesTable[CIP '#],ProjectsTable[[#This Row],[CIP '#]],PhasesTable[Projected Expenditures FY 2019]),0)</f>
        <v>7600</v>
      </c>
      <c r="R100" s="229">
        <f>ROUND(SUMIF(PhasesTable[CIP '#],ProjectsTable[[#This Row],[CIP '#]],PhasesTable[Projected Expenditures FY 2020]),0)</f>
        <v>0</v>
      </c>
      <c r="S100" s="229">
        <f>ROUND(SUMIF(PhasesTable[CIP '#],ProjectsTable[[#This Row],[CIP '#]],PhasesTable[Projected Expenditures FY 2021]),0)</f>
        <v>0</v>
      </c>
      <c r="T100" s="230">
        <f>ROUND(SUMIF(PhasesTable[CIP '#],ProjectsTable[[#This Row],[CIP '#]],PhasesTable[Projected Expenditures FY 2022]),0)</f>
        <v>0</v>
      </c>
      <c r="U100" s="227">
        <f>ROUND(SUMIF(PhasesTable[CIP '#],ProjectsTable[[#This Row],[CIP '#]],PhasesTable[Projected Expenditures FY 2023 &amp; Beyond]),0)</f>
        <v>0</v>
      </c>
      <c r="V100" s="231">
        <f>ROUND(SUMIF(PhasesTable[CIP '#],ProjectsTable[[#This Row],[CIP '#]],PhasesTable[2018-2022 CIP Total]),0)</f>
        <v>11800</v>
      </c>
      <c r="W100" s="232">
        <f>ROUND(SUMIF(PhasesTable[CIP '#],ProjectsTable[[#This Row],[CIP '#]],PhasesTable[Project Total]),0)</f>
        <v>11800</v>
      </c>
      <c r="X100" s="164" t="s">
        <v>28</v>
      </c>
    </row>
    <row r="101" spans="1:24" s="18" customFormat="1" ht="28.5" x14ac:dyDescent="0.45">
      <c r="A101" s="172">
        <v>123</v>
      </c>
      <c r="B101" s="173">
        <v>1343</v>
      </c>
      <c r="C101" s="174" t="s">
        <v>180</v>
      </c>
      <c r="D101" s="175" t="s">
        <v>70</v>
      </c>
      <c r="E101" s="175">
        <v>2016</v>
      </c>
      <c r="F101" s="175">
        <v>3810</v>
      </c>
      <c r="G101" s="175">
        <v>381000</v>
      </c>
      <c r="H101" s="175" t="s">
        <v>292</v>
      </c>
      <c r="I101" s="175" t="s">
        <v>280</v>
      </c>
      <c r="J101" s="175" t="s">
        <v>323</v>
      </c>
      <c r="K101" s="175" t="s">
        <v>323</v>
      </c>
      <c r="L101" s="175" t="s">
        <v>27</v>
      </c>
      <c r="M101" s="175" t="s">
        <v>27</v>
      </c>
      <c r="N101" s="233">
        <f>ROUND(SUMIF(PhasesTable[CIP '#],ProjectsTable[[#This Row],[CIP '#]],PhasesTable[Lifetime Actual Thru FY 2016 (Unaudited)]),0)</f>
        <v>0</v>
      </c>
      <c r="O101" s="233">
        <f>ROUND(SUMIF(PhasesTable[CIP '#],ProjectsTable[[#This Row],[CIP '#]],PhasesTable[Projected Expenditures FY 2017]),0)</f>
        <v>1000</v>
      </c>
      <c r="P101" s="234">
        <f>ROUND(SUMIF(PhasesTable[CIP '#],ProjectsTable[[#This Row],[CIP '#]],PhasesTable[Projected Expenditures FY 2018]),0)</f>
        <v>1000</v>
      </c>
      <c r="Q101" s="235">
        <f>ROUND(SUMIF(PhasesTable[CIP '#],ProjectsTable[[#This Row],[CIP '#]],PhasesTable[Projected Expenditures FY 2019]),0)</f>
        <v>1000</v>
      </c>
      <c r="R101" s="235">
        <f>ROUND(SUMIF(PhasesTable[CIP '#],ProjectsTable[[#This Row],[CIP '#]],PhasesTable[Projected Expenditures FY 2020]),0)</f>
        <v>1000</v>
      </c>
      <c r="S101" s="235">
        <f>ROUND(SUMIF(PhasesTable[CIP '#],ProjectsTable[[#This Row],[CIP '#]],PhasesTable[Projected Expenditures FY 2021]),0)</f>
        <v>1000</v>
      </c>
      <c r="T101" s="236">
        <f>ROUND(SUMIF(PhasesTable[CIP '#],ProjectsTable[[#This Row],[CIP '#]],PhasesTable[Projected Expenditures FY 2022]),0)</f>
        <v>1000</v>
      </c>
      <c r="U101" s="233">
        <f>ROUND(SUMIF(PhasesTable[CIP '#],ProjectsTable[[#This Row],[CIP '#]],PhasesTable[Projected Expenditures FY 2023 &amp; Beyond]),0)</f>
        <v>0</v>
      </c>
      <c r="V101" s="237">
        <f>ROUND(SUMIF(PhasesTable[CIP '#],ProjectsTable[[#This Row],[CIP '#]],PhasesTable[2018-2022 CIP Total]),0)</f>
        <v>5000</v>
      </c>
      <c r="W101" s="238">
        <f>ROUND(SUMIF(PhasesTable[CIP '#],ProjectsTable[[#This Row],[CIP '#]],PhasesTable[Project Total]),0)</f>
        <v>6000</v>
      </c>
      <c r="X101" s="182" t="s">
        <v>182</v>
      </c>
    </row>
    <row r="102" spans="1:24" s="43" customFormat="1" ht="28.5" x14ac:dyDescent="0.45">
      <c r="A102" s="20">
        <v>115</v>
      </c>
      <c r="B102" s="165">
        <v>1344</v>
      </c>
      <c r="C102" s="166" t="s">
        <v>172</v>
      </c>
      <c r="D102" s="23" t="s">
        <v>70</v>
      </c>
      <c r="E102" s="55">
        <v>2014</v>
      </c>
      <c r="F102" s="55">
        <v>2604</v>
      </c>
      <c r="G102" s="55">
        <v>260400</v>
      </c>
      <c r="H102" s="55" t="s">
        <v>119</v>
      </c>
      <c r="I102" s="55" t="s">
        <v>119</v>
      </c>
      <c r="J102" s="55" t="s">
        <v>323</v>
      </c>
      <c r="K102" s="55" t="s">
        <v>323</v>
      </c>
      <c r="L102" s="168">
        <v>82.8</v>
      </c>
      <c r="M102" s="168" t="s">
        <v>27</v>
      </c>
      <c r="N102" s="117">
        <f>ROUND(SUMIF(PhasesTable[CIP '#],ProjectsTable[[#This Row],[CIP '#]],PhasesTable[Lifetime Actual Thru FY 2016 (Unaudited)]),0)</f>
        <v>0</v>
      </c>
      <c r="O102" s="117">
        <f>ROUND(SUMIF(PhasesTable[CIP '#],ProjectsTable[[#This Row],[CIP '#]],PhasesTable[Projected Expenditures FY 2017]),0)</f>
        <v>500</v>
      </c>
      <c r="P102" s="118">
        <f>ROUND(SUMIF(PhasesTable[CIP '#],ProjectsTable[[#This Row],[CIP '#]],PhasesTable[Projected Expenditures FY 2018]),0)</f>
        <v>500</v>
      </c>
      <c r="Q102" s="119">
        <f>ROUND(SUMIF(PhasesTable[CIP '#],ProjectsTable[[#This Row],[CIP '#]],PhasesTable[Projected Expenditures FY 2019]),0)</f>
        <v>500</v>
      </c>
      <c r="R102" s="119">
        <f>ROUND(SUMIF(PhasesTable[CIP '#],ProjectsTable[[#This Row],[CIP '#]],PhasesTable[Projected Expenditures FY 2020]),0)</f>
        <v>500</v>
      </c>
      <c r="S102" s="119">
        <f>ROUND(SUMIF(PhasesTable[CIP '#],ProjectsTable[[#This Row],[CIP '#]],PhasesTable[Projected Expenditures FY 2021]),0)</f>
        <v>500</v>
      </c>
      <c r="T102" s="120">
        <f>ROUND(SUMIF(PhasesTable[CIP '#],ProjectsTable[[#This Row],[CIP '#]],PhasesTable[Projected Expenditures FY 2022]),0)</f>
        <v>500</v>
      </c>
      <c r="U102" s="117">
        <f>ROUND(SUMIF(PhasesTable[CIP '#],ProjectsTable[[#This Row],[CIP '#]],PhasesTable[Projected Expenditures FY 2023 &amp; Beyond]),0)</f>
        <v>0</v>
      </c>
      <c r="V102" s="121">
        <f>ROUND(SUMIF(PhasesTable[CIP '#],ProjectsTable[[#This Row],[CIP '#]],PhasesTable[2018-2022 CIP Total]),0)</f>
        <v>2500</v>
      </c>
      <c r="W102" s="122">
        <f>ROUND(SUMIF(PhasesTable[CIP '#],ProjectsTable[[#This Row],[CIP '#]],PhasesTable[Project Total]),0)</f>
        <v>3000</v>
      </c>
      <c r="X102" s="169" t="s">
        <v>113</v>
      </c>
    </row>
    <row r="103" spans="1:24" s="43" customFormat="1" ht="42.75" x14ac:dyDescent="0.45">
      <c r="A103" s="158">
        <v>64</v>
      </c>
      <c r="B103" s="159">
        <v>1347</v>
      </c>
      <c r="C103" s="160" t="s">
        <v>111</v>
      </c>
      <c r="D103" s="161" t="s">
        <v>23</v>
      </c>
      <c r="E103" s="162">
        <v>2016</v>
      </c>
      <c r="F103" s="162">
        <v>132</v>
      </c>
      <c r="G103" s="162">
        <v>132011</v>
      </c>
      <c r="H103" s="162" t="s">
        <v>24</v>
      </c>
      <c r="I103" s="162" t="s">
        <v>24</v>
      </c>
      <c r="J103" s="161" t="s">
        <v>97</v>
      </c>
      <c r="K103" s="161" t="s">
        <v>98</v>
      </c>
      <c r="L103" s="161"/>
      <c r="M103" s="163" t="s">
        <v>27</v>
      </c>
      <c r="N103" s="226">
        <f>ROUND(SUMIF(PhasesTable[CIP '#],ProjectsTable[[#This Row],[CIP '#]],PhasesTable[Lifetime Actual Thru FY 2016 (Unaudited)]),0)</f>
        <v>0</v>
      </c>
      <c r="O103" s="227">
        <f>ROUND(SUMIF(PhasesTable[CIP '#],ProjectsTable[[#This Row],[CIP '#]],PhasesTable[Projected Expenditures FY 2017]),0)</f>
        <v>0</v>
      </c>
      <c r="P103" s="228">
        <f>ROUND(SUMIF(PhasesTable[CIP '#],ProjectsTable[[#This Row],[CIP '#]],PhasesTable[Projected Expenditures FY 2018]),0)</f>
        <v>1667</v>
      </c>
      <c r="Q103" s="229">
        <f>ROUND(SUMIF(PhasesTable[CIP '#],ProjectsTable[[#This Row],[CIP '#]],PhasesTable[Projected Expenditures FY 2019]),0)</f>
        <v>1667</v>
      </c>
      <c r="R103" s="229">
        <f>ROUND(SUMIF(PhasesTable[CIP '#],ProjectsTable[[#This Row],[CIP '#]],PhasesTable[Projected Expenditures FY 2020]),0)</f>
        <v>0</v>
      </c>
      <c r="S103" s="229">
        <f>ROUND(SUMIF(PhasesTable[CIP '#],ProjectsTable[[#This Row],[CIP '#]],PhasesTable[Projected Expenditures FY 2021]),0)</f>
        <v>0</v>
      </c>
      <c r="T103" s="230">
        <f>ROUND(SUMIF(PhasesTable[CIP '#],ProjectsTable[[#This Row],[CIP '#]],PhasesTable[Projected Expenditures FY 2022]),0)</f>
        <v>0</v>
      </c>
      <c r="U103" s="227">
        <f>ROUND(SUMIF(PhasesTable[CIP '#],ProjectsTable[[#This Row],[CIP '#]],PhasesTable[Projected Expenditures FY 2023 &amp; Beyond]),0)</f>
        <v>0</v>
      </c>
      <c r="V103" s="231">
        <f>ROUND(SUMIF(PhasesTable[CIP '#],ProjectsTable[[#This Row],[CIP '#]],PhasesTable[2018-2022 CIP Total]),0)</f>
        <v>3334</v>
      </c>
      <c r="W103" s="232">
        <f>ROUND(SUMIF(PhasesTable[CIP '#],ProjectsTable[[#This Row],[CIP '#]],PhasesTable[Project Total]),0)</f>
        <v>3334</v>
      </c>
      <c r="X103" s="164" t="s">
        <v>85</v>
      </c>
    </row>
    <row r="104" spans="1:24" s="18" customFormat="1" ht="28.5" x14ac:dyDescent="0.45">
      <c r="A104" s="158">
        <v>45</v>
      </c>
      <c r="B104" s="159">
        <v>1350</v>
      </c>
      <c r="C104" s="160" t="s">
        <v>86</v>
      </c>
      <c r="D104" s="161" t="s">
        <v>23</v>
      </c>
      <c r="E104" s="162">
        <v>2014</v>
      </c>
      <c r="F104" s="162">
        <v>122</v>
      </c>
      <c r="G104" s="162">
        <v>122009</v>
      </c>
      <c r="H104" s="162" t="s">
        <v>24</v>
      </c>
      <c r="I104" s="162" t="s">
        <v>24</v>
      </c>
      <c r="J104" s="161" t="s">
        <v>74</v>
      </c>
      <c r="K104" s="161" t="s">
        <v>75</v>
      </c>
      <c r="L104" s="161" t="s">
        <v>27</v>
      </c>
      <c r="M104" s="163" t="s">
        <v>27</v>
      </c>
      <c r="N104" s="226">
        <f>ROUND(SUMIF(PhasesTable[CIP '#],ProjectsTable[[#This Row],[CIP '#]],PhasesTable[Lifetime Actual Thru FY 2016 (Unaudited)]),0)</f>
        <v>8323</v>
      </c>
      <c r="O104" s="227">
        <f>ROUND(SUMIF(PhasesTable[CIP '#],ProjectsTable[[#This Row],[CIP '#]],PhasesTable[Projected Expenditures FY 2017]),0)</f>
        <v>100</v>
      </c>
      <c r="P104" s="228">
        <f>ROUND(SUMIF(PhasesTable[CIP '#],ProjectsTable[[#This Row],[CIP '#]],PhasesTable[Projected Expenditures FY 2018]),0)</f>
        <v>0</v>
      </c>
      <c r="Q104" s="229">
        <f>ROUND(SUMIF(PhasesTable[CIP '#],ProjectsTable[[#This Row],[CIP '#]],PhasesTable[Projected Expenditures FY 2019]),0)</f>
        <v>0</v>
      </c>
      <c r="R104" s="229">
        <f>ROUND(SUMIF(PhasesTable[CIP '#],ProjectsTable[[#This Row],[CIP '#]],PhasesTable[Projected Expenditures FY 2020]),0)</f>
        <v>0</v>
      </c>
      <c r="S104" s="229">
        <f>ROUND(SUMIF(PhasesTable[CIP '#],ProjectsTable[[#This Row],[CIP '#]],PhasesTable[Projected Expenditures FY 2021]),0)</f>
        <v>0</v>
      </c>
      <c r="T104" s="230">
        <f>ROUND(SUMIF(PhasesTable[CIP '#],ProjectsTable[[#This Row],[CIP '#]],PhasesTable[Projected Expenditures FY 2022]),0)</f>
        <v>0</v>
      </c>
      <c r="U104" s="227">
        <f>ROUND(SUMIF(PhasesTable[CIP '#],ProjectsTable[[#This Row],[CIP '#]],PhasesTable[Projected Expenditures FY 2023 &amp; Beyond]),0)</f>
        <v>0</v>
      </c>
      <c r="V104" s="231">
        <f>ROUND(SUMIF(PhasesTable[CIP '#],ProjectsTable[[#This Row],[CIP '#]],PhasesTable[2018-2022 CIP Total]),0)</f>
        <v>0</v>
      </c>
      <c r="W104" s="232">
        <f>ROUND(SUMIF(PhasesTable[CIP '#],ProjectsTable[[#This Row],[CIP '#]],PhasesTable[Project Total]),0)</f>
        <v>8423</v>
      </c>
      <c r="X104" s="164" t="s">
        <v>87</v>
      </c>
    </row>
    <row r="105" spans="1:24" s="43" customFormat="1" ht="42.75" x14ac:dyDescent="0.45">
      <c r="A105" s="158">
        <v>46</v>
      </c>
      <c r="B105" s="159">
        <v>1351</v>
      </c>
      <c r="C105" s="160" t="s">
        <v>283</v>
      </c>
      <c r="D105" s="161" t="s">
        <v>23</v>
      </c>
      <c r="E105" s="162">
        <v>2014</v>
      </c>
      <c r="F105" s="162">
        <v>122</v>
      </c>
      <c r="G105" s="162">
        <v>122010</v>
      </c>
      <c r="H105" s="162" t="s">
        <v>24</v>
      </c>
      <c r="I105" s="162" t="s">
        <v>24</v>
      </c>
      <c r="J105" s="161" t="s">
        <v>74</v>
      </c>
      <c r="K105" s="161" t="s">
        <v>75</v>
      </c>
      <c r="L105" s="161" t="s">
        <v>27</v>
      </c>
      <c r="M105" s="163" t="s">
        <v>27</v>
      </c>
      <c r="N105" s="226">
        <f>ROUND(SUMIF(PhasesTable[CIP '#],ProjectsTable[[#This Row],[CIP '#]],PhasesTable[Lifetime Actual Thru FY 2016 (Unaudited)]),0)</f>
        <v>0</v>
      </c>
      <c r="O105" s="227">
        <f>ROUND(SUMIF(PhasesTable[CIP '#],ProjectsTable[[#This Row],[CIP '#]],PhasesTable[Projected Expenditures FY 2017]),0)</f>
        <v>1370</v>
      </c>
      <c r="P105" s="228">
        <f>ROUND(SUMIF(PhasesTable[CIP '#],ProjectsTable[[#This Row],[CIP '#]],PhasesTable[Projected Expenditures FY 2018]),0)</f>
        <v>1106</v>
      </c>
      <c r="Q105" s="229">
        <f>ROUND(SUMIF(PhasesTable[CIP '#],ProjectsTable[[#This Row],[CIP '#]],PhasesTable[Projected Expenditures FY 2019]),0)</f>
        <v>652</v>
      </c>
      <c r="R105" s="229">
        <f>ROUND(SUMIF(PhasesTable[CIP '#],ProjectsTable[[#This Row],[CIP '#]],PhasesTable[Projected Expenditures FY 2020]),0)</f>
        <v>0</v>
      </c>
      <c r="S105" s="229">
        <f>ROUND(SUMIF(PhasesTable[CIP '#],ProjectsTable[[#This Row],[CIP '#]],PhasesTable[Projected Expenditures FY 2021]),0)</f>
        <v>0</v>
      </c>
      <c r="T105" s="230">
        <f>ROUND(SUMIF(PhasesTable[CIP '#],ProjectsTable[[#This Row],[CIP '#]],PhasesTable[Projected Expenditures FY 2022]),0)</f>
        <v>0</v>
      </c>
      <c r="U105" s="227">
        <f>ROUND(SUMIF(PhasesTable[CIP '#],ProjectsTable[[#This Row],[CIP '#]],PhasesTable[Projected Expenditures FY 2023 &amp; Beyond]),0)</f>
        <v>0</v>
      </c>
      <c r="V105" s="231">
        <f>ROUND(SUMIF(PhasesTable[CIP '#],ProjectsTable[[#This Row],[CIP '#]],PhasesTable[2018-2022 CIP Total]),0)</f>
        <v>1758</v>
      </c>
      <c r="W105" s="232">
        <f>ROUND(SUMIF(PhasesTable[CIP '#],ProjectsTable[[#This Row],[CIP '#]],PhasesTable[Project Total]),0)</f>
        <v>3128</v>
      </c>
      <c r="X105" s="164" t="s">
        <v>76</v>
      </c>
    </row>
    <row r="106" spans="1:24" s="18" customFormat="1" ht="42.75" x14ac:dyDescent="0.45">
      <c r="A106" s="158">
        <v>32</v>
      </c>
      <c r="B106" s="159">
        <v>1355</v>
      </c>
      <c r="C106" s="160" t="s">
        <v>333</v>
      </c>
      <c r="D106" s="161" t="s">
        <v>23</v>
      </c>
      <c r="E106" s="162">
        <v>2016</v>
      </c>
      <c r="F106" s="162">
        <v>116</v>
      </c>
      <c r="G106" s="162">
        <v>116003</v>
      </c>
      <c r="H106" s="162" t="s">
        <v>24</v>
      </c>
      <c r="I106" s="162" t="s">
        <v>24</v>
      </c>
      <c r="J106" s="161" t="s">
        <v>25</v>
      </c>
      <c r="K106" s="161" t="s">
        <v>67</v>
      </c>
      <c r="L106" s="161">
        <v>56.2</v>
      </c>
      <c r="M106" s="163">
        <v>54.6</v>
      </c>
      <c r="N106" s="226">
        <f>ROUND(SUMIF(PhasesTable[CIP '#],ProjectsTable[[#This Row],[CIP '#]],PhasesTable[Lifetime Actual Thru FY 2016 (Unaudited)]),0)</f>
        <v>0</v>
      </c>
      <c r="O106" s="227">
        <f>ROUND(SUMIF(PhasesTable[CIP '#],ProjectsTable[[#This Row],[CIP '#]],PhasesTable[Projected Expenditures FY 2017]),0)</f>
        <v>0</v>
      </c>
      <c r="P106" s="228">
        <f>ROUND(SUMIF(PhasesTable[CIP '#],ProjectsTable[[#This Row],[CIP '#]],PhasesTable[Projected Expenditures FY 2018]),0)</f>
        <v>400</v>
      </c>
      <c r="Q106" s="229">
        <f>ROUND(SUMIF(PhasesTable[CIP '#],ProjectsTable[[#This Row],[CIP '#]],PhasesTable[Projected Expenditures FY 2019]),0)</f>
        <v>3200</v>
      </c>
      <c r="R106" s="229">
        <f>ROUND(SUMIF(PhasesTable[CIP '#],ProjectsTable[[#This Row],[CIP '#]],PhasesTable[Projected Expenditures FY 2020]),0)</f>
        <v>3200</v>
      </c>
      <c r="S106" s="229">
        <f>ROUND(SUMIF(PhasesTable[CIP '#],ProjectsTable[[#This Row],[CIP '#]],PhasesTable[Projected Expenditures FY 2021]),0)</f>
        <v>0</v>
      </c>
      <c r="T106" s="230">
        <f>ROUND(SUMIF(PhasesTable[CIP '#],ProjectsTable[[#This Row],[CIP '#]],PhasesTable[Projected Expenditures FY 2022]),0)</f>
        <v>0</v>
      </c>
      <c r="U106" s="227">
        <f>ROUND(SUMIF(PhasesTable[CIP '#],ProjectsTable[[#This Row],[CIP '#]],PhasesTable[Projected Expenditures FY 2023 &amp; Beyond]),0)</f>
        <v>0</v>
      </c>
      <c r="V106" s="231">
        <f>ROUND(SUMIF(PhasesTable[CIP '#],ProjectsTable[[#This Row],[CIP '#]],PhasesTable[2018-2022 CIP Total]),0)</f>
        <v>6800</v>
      </c>
      <c r="W106" s="232">
        <f>ROUND(SUMIF(PhasesTable[CIP '#],ProjectsTable[[#This Row],[CIP '#]],PhasesTable[Project Total]),0)</f>
        <v>6800</v>
      </c>
      <c r="X106" s="164" t="s">
        <v>28</v>
      </c>
    </row>
    <row r="107" spans="1:24" s="43" customFormat="1" ht="28.5" x14ac:dyDescent="0.45">
      <c r="A107" s="158">
        <v>47</v>
      </c>
      <c r="B107" s="159">
        <v>1356</v>
      </c>
      <c r="C107" s="160" t="s">
        <v>88</v>
      </c>
      <c r="D107" s="161" t="s">
        <v>70</v>
      </c>
      <c r="E107" s="162">
        <v>2017</v>
      </c>
      <c r="F107" s="162">
        <v>1705</v>
      </c>
      <c r="G107" s="162">
        <v>170500</v>
      </c>
      <c r="H107" s="162" t="s">
        <v>24</v>
      </c>
      <c r="I107" s="162" t="s">
        <v>24</v>
      </c>
      <c r="J107" s="162" t="s">
        <v>323</v>
      </c>
      <c r="K107" s="162" t="s">
        <v>323</v>
      </c>
      <c r="L107" s="161">
        <v>69.400000000000006</v>
      </c>
      <c r="M107" s="163">
        <v>66.799999999999983</v>
      </c>
      <c r="N107" s="226">
        <f>ROUND(SUMIF(PhasesTable[CIP '#],ProjectsTable[[#This Row],[CIP '#]],PhasesTable[Lifetime Actual Thru FY 2016 (Unaudited)]),0)</f>
        <v>0</v>
      </c>
      <c r="O107" s="227">
        <f>ROUND(SUMIF(PhasesTable[CIP '#],ProjectsTable[[#This Row],[CIP '#]],PhasesTable[Projected Expenditures FY 2017]),0)</f>
        <v>0</v>
      </c>
      <c r="P107" s="228">
        <f>ROUND(SUMIF(PhasesTable[CIP '#],ProjectsTable[[#This Row],[CIP '#]],PhasesTable[Projected Expenditures FY 2018]),0)</f>
        <v>2930</v>
      </c>
      <c r="Q107" s="229">
        <f>ROUND(SUMIF(PhasesTable[CIP '#],ProjectsTable[[#This Row],[CIP '#]],PhasesTable[Projected Expenditures FY 2019]),0)</f>
        <v>3100</v>
      </c>
      <c r="R107" s="229">
        <f>ROUND(SUMIF(PhasesTable[CIP '#],ProjectsTable[[#This Row],[CIP '#]],PhasesTable[Projected Expenditures FY 2020]),0)</f>
        <v>3100</v>
      </c>
      <c r="S107" s="229">
        <f>ROUND(SUMIF(PhasesTable[CIP '#],ProjectsTable[[#This Row],[CIP '#]],PhasesTable[Projected Expenditures FY 2021]),0)</f>
        <v>3100</v>
      </c>
      <c r="T107" s="230">
        <f>ROUND(SUMIF(PhasesTable[CIP '#],ProjectsTable[[#This Row],[CIP '#]],PhasesTable[Projected Expenditures FY 2022]),0)</f>
        <v>3100</v>
      </c>
      <c r="U107" s="227">
        <f>ROUND(SUMIF(PhasesTable[CIP '#],ProjectsTable[[#This Row],[CIP '#]],PhasesTable[Projected Expenditures FY 2023 &amp; Beyond]),0)</f>
        <v>0</v>
      </c>
      <c r="V107" s="231">
        <f>ROUND(SUMIF(PhasesTable[CIP '#],ProjectsTable[[#This Row],[CIP '#]],PhasesTable[2018-2022 CIP Total]),0)</f>
        <v>15330</v>
      </c>
      <c r="W107" s="232">
        <f>ROUND(SUMIF(PhasesTable[CIP '#],ProjectsTable[[#This Row],[CIP '#]],PhasesTable[Project Total]),0)</f>
        <v>15330</v>
      </c>
      <c r="X107" s="164" t="s">
        <v>85</v>
      </c>
    </row>
    <row r="108" spans="1:24" s="43" customFormat="1" ht="28.5" x14ac:dyDescent="0.45">
      <c r="A108" s="20">
        <v>112</v>
      </c>
      <c r="B108" s="165">
        <v>1357</v>
      </c>
      <c r="C108" s="166" t="s">
        <v>168</v>
      </c>
      <c r="D108" s="23" t="s">
        <v>23</v>
      </c>
      <c r="E108" s="55">
        <v>2017</v>
      </c>
      <c r="F108" s="55">
        <v>233</v>
      </c>
      <c r="G108" s="55">
        <v>233001</v>
      </c>
      <c r="H108" s="55" t="s">
        <v>119</v>
      </c>
      <c r="I108" s="55" t="s">
        <v>119</v>
      </c>
      <c r="J108" s="55" t="s">
        <v>97</v>
      </c>
      <c r="K108" s="55" t="s">
        <v>169</v>
      </c>
      <c r="L108" s="168">
        <v>71.2</v>
      </c>
      <c r="M108" s="168">
        <v>46.2</v>
      </c>
      <c r="N108" s="117">
        <f>ROUND(SUMIF(PhasesTable[CIP '#],ProjectsTable[[#This Row],[CIP '#]],PhasesTable[Lifetime Actual Thru FY 2016 (Unaudited)]),0)</f>
        <v>0</v>
      </c>
      <c r="O108" s="117">
        <f>ROUND(SUMIF(PhasesTable[CIP '#],ProjectsTable[[#This Row],[CIP '#]],PhasesTable[Projected Expenditures FY 2017]),0)</f>
        <v>0</v>
      </c>
      <c r="P108" s="118">
        <f>ROUND(SUMIF(PhasesTable[CIP '#],ProjectsTable[[#This Row],[CIP '#]],PhasesTable[Projected Expenditures FY 2018]),0)</f>
        <v>1301</v>
      </c>
      <c r="Q108" s="119">
        <f>ROUND(SUMIF(PhasesTable[CIP '#],ProjectsTable[[#This Row],[CIP '#]],PhasesTable[Projected Expenditures FY 2019]),0)</f>
        <v>3000</v>
      </c>
      <c r="R108" s="119">
        <f>ROUND(SUMIF(PhasesTable[CIP '#],ProjectsTable[[#This Row],[CIP '#]],PhasesTable[Projected Expenditures FY 2020]),0)</f>
        <v>3000</v>
      </c>
      <c r="S108" s="119">
        <f>ROUND(SUMIF(PhasesTable[CIP '#],ProjectsTable[[#This Row],[CIP '#]],PhasesTable[Projected Expenditures FY 2021]),0)</f>
        <v>2000</v>
      </c>
      <c r="T108" s="120">
        <f>ROUND(SUMIF(PhasesTable[CIP '#],ProjectsTable[[#This Row],[CIP '#]],PhasesTable[Projected Expenditures FY 2022]),0)</f>
        <v>0</v>
      </c>
      <c r="U108" s="117">
        <f>ROUND(SUMIF(PhasesTable[CIP '#],ProjectsTable[[#This Row],[CIP '#]],PhasesTable[Projected Expenditures FY 2023 &amp; Beyond]),0)</f>
        <v>0</v>
      </c>
      <c r="V108" s="121">
        <f>ROUND(SUMIF(PhasesTable[CIP '#],ProjectsTable[[#This Row],[CIP '#]],PhasesTable[2018-2022 CIP Total]),0)</f>
        <v>9301</v>
      </c>
      <c r="W108" s="122">
        <f>ROUND(SUMIF(PhasesTable[CIP '#],ProjectsTable[[#This Row],[CIP '#]],PhasesTable[Project Total]),0)</f>
        <v>9301</v>
      </c>
      <c r="X108" s="169" t="s">
        <v>85</v>
      </c>
    </row>
    <row r="109" spans="1:24" s="43" customFormat="1" ht="28.5" x14ac:dyDescent="0.45">
      <c r="A109" s="158">
        <v>124</v>
      </c>
      <c r="B109" s="159">
        <v>1366</v>
      </c>
      <c r="C109" s="179" t="s">
        <v>183</v>
      </c>
      <c r="D109" s="13" t="s">
        <v>23</v>
      </c>
      <c r="E109" s="12">
        <v>2017</v>
      </c>
      <c r="F109" s="12">
        <v>351</v>
      </c>
      <c r="G109" s="12">
        <v>351001</v>
      </c>
      <c r="H109" s="12" t="s">
        <v>24</v>
      </c>
      <c r="I109" s="12" t="s">
        <v>280</v>
      </c>
      <c r="J109" s="12" t="s">
        <v>181</v>
      </c>
      <c r="K109" s="12" t="s">
        <v>67</v>
      </c>
      <c r="L109" s="13">
        <v>60.8</v>
      </c>
      <c r="M109" s="181">
        <v>60.79999999999999</v>
      </c>
      <c r="N109" s="111">
        <f>ROUND(SUMIF(PhasesTable[CIP '#],ProjectsTable[[#This Row],[CIP '#]],PhasesTable[Lifetime Actual Thru FY 2016 (Unaudited)]),0)</f>
        <v>0</v>
      </c>
      <c r="O109" s="111">
        <f>ROUND(SUMIF(PhasesTable[CIP '#],ProjectsTable[[#This Row],[CIP '#]],PhasesTable[Projected Expenditures FY 2017]),0)</f>
        <v>0</v>
      </c>
      <c r="P109" s="112">
        <f>ROUND(SUMIF(PhasesTable[CIP '#],ProjectsTable[[#This Row],[CIP '#]],PhasesTable[Projected Expenditures FY 2018]),0)</f>
        <v>933</v>
      </c>
      <c r="Q109" s="113">
        <f>ROUND(SUMIF(PhasesTable[CIP '#],ProjectsTable[[#This Row],[CIP '#]],PhasesTable[Projected Expenditures FY 2019]),0)</f>
        <v>933</v>
      </c>
      <c r="R109" s="113">
        <f>ROUND(SUMIF(PhasesTable[CIP '#],ProjectsTable[[#This Row],[CIP '#]],PhasesTable[Projected Expenditures FY 2020]),0)</f>
        <v>933</v>
      </c>
      <c r="S109" s="113">
        <f>ROUND(SUMIF(PhasesTable[CIP '#],ProjectsTable[[#This Row],[CIP '#]],PhasesTable[Projected Expenditures FY 2021]),0)</f>
        <v>0</v>
      </c>
      <c r="T109" s="114">
        <f>ROUND(SUMIF(PhasesTable[CIP '#],ProjectsTable[[#This Row],[CIP '#]],PhasesTable[Projected Expenditures FY 2022]),0)</f>
        <v>0</v>
      </c>
      <c r="U109" s="111">
        <f>ROUND(SUMIF(PhasesTable[CIP '#],ProjectsTable[[#This Row],[CIP '#]],PhasesTable[Projected Expenditures FY 2023 &amp; Beyond]),0)</f>
        <v>0</v>
      </c>
      <c r="V109" s="115">
        <f>ROUND(SUMIF(PhasesTable[CIP '#],ProjectsTable[[#This Row],[CIP '#]],PhasesTable[2018-2022 CIP Total]),0)</f>
        <v>2799</v>
      </c>
      <c r="W109" s="116">
        <f>ROUND(SUMIF(PhasesTable[CIP '#],ProjectsTable[[#This Row],[CIP '#]],PhasesTable[Project Total]),0)</f>
        <v>2799</v>
      </c>
      <c r="X109" s="184" t="s">
        <v>182</v>
      </c>
    </row>
    <row r="110" spans="1:24" s="18" customFormat="1" ht="28.5" x14ac:dyDescent="0.45">
      <c r="A110" s="20">
        <v>101</v>
      </c>
      <c r="B110" s="165">
        <v>1381</v>
      </c>
      <c r="C110" s="166" t="s">
        <v>155</v>
      </c>
      <c r="D110" s="23" t="s">
        <v>23</v>
      </c>
      <c r="E110" s="55">
        <v>2017</v>
      </c>
      <c r="F110" s="55">
        <v>216</v>
      </c>
      <c r="G110" s="55">
        <v>216006</v>
      </c>
      <c r="H110" s="55" t="s">
        <v>119</v>
      </c>
      <c r="I110" s="55" t="s">
        <v>119</v>
      </c>
      <c r="J110" s="55" t="s">
        <v>72</v>
      </c>
      <c r="K110" s="55" t="s">
        <v>67</v>
      </c>
      <c r="L110" s="168">
        <v>89.8</v>
      </c>
      <c r="M110" s="168">
        <v>52.2</v>
      </c>
      <c r="N110" s="117">
        <f>ROUND(SUMIF(PhasesTable[CIP '#],ProjectsTable[[#This Row],[CIP '#]],PhasesTable[Lifetime Actual Thru FY 2016 (Unaudited)]),0)</f>
        <v>0</v>
      </c>
      <c r="O110" s="117">
        <f>ROUND(SUMIF(PhasesTable[CIP '#],ProjectsTable[[#This Row],[CIP '#]],PhasesTable[Projected Expenditures FY 2017]),0)</f>
        <v>0</v>
      </c>
      <c r="P110" s="118">
        <f>ROUND(SUMIF(PhasesTable[CIP '#],ProjectsTable[[#This Row],[CIP '#]],PhasesTable[Projected Expenditures FY 2018]),0)</f>
        <v>1700</v>
      </c>
      <c r="Q110" s="119">
        <f>ROUND(SUMIF(PhasesTable[CIP '#],ProjectsTable[[#This Row],[CIP '#]],PhasesTable[Projected Expenditures FY 2019]),0)</f>
        <v>2000</v>
      </c>
      <c r="R110" s="119">
        <f>ROUND(SUMIF(PhasesTable[CIP '#],ProjectsTable[[#This Row],[CIP '#]],PhasesTable[Projected Expenditures FY 2020]),0)</f>
        <v>12000</v>
      </c>
      <c r="S110" s="119">
        <f>ROUND(SUMIF(PhasesTable[CIP '#],ProjectsTable[[#This Row],[CIP '#]],PhasesTable[Projected Expenditures FY 2021]),0)</f>
        <v>15600</v>
      </c>
      <c r="T110" s="120">
        <f>ROUND(SUMIF(PhasesTable[CIP '#],ProjectsTable[[#This Row],[CIP '#]],PhasesTable[Projected Expenditures FY 2022]),0)</f>
        <v>16279</v>
      </c>
      <c r="U110" s="117">
        <f>ROUND(SUMIF(PhasesTable[CIP '#],ProjectsTable[[#This Row],[CIP '#]],PhasesTable[Projected Expenditures FY 2023 &amp; Beyond]),0)</f>
        <v>2421</v>
      </c>
      <c r="V110" s="121">
        <f>ROUND(SUMIF(PhasesTable[CIP '#],ProjectsTable[[#This Row],[CIP '#]],PhasesTable[2018-2022 CIP Total]),0)</f>
        <v>47579</v>
      </c>
      <c r="W110" s="122">
        <f>ROUND(SUMIF(PhasesTable[CIP '#],ProjectsTable[[#This Row],[CIP '#]],PhasesTable[Project Total]),0)</f>
        <v>50000</v>
      </c>
      <c r="X110" s="169" t="s">
        <v>130</v>
      </c>
    </row>
    <row r="111" spans="1:24" s="43" customFormat="1" ht="28.5" x14ac:dyDescent="0.45">
      <c r="A111" s="20">
        <v>76</v>
      </c>
      <c r="B111" s="165">
        <v>1382</v>
      </c>
      <c r="C111" s="166" t="s">
        <v>129</v>
      </c>
      <c r="D111" s="23" t="s">
        <v>23</v>
      </c>
      <c r="E111" s="55">
        <v>2017</v>
      </c>
      <c r="F111" s="55">
        <v>211</v>
      </c>
      <c r="G111" s="55">
        <v>211008</v>
      </c>
      <c r="H111" s="55" t="s">
        <v>119</v>
      </c>
      <c r="I111" s="55" t="s">
        <v>119</v>
      </c>
      <c r="J111" s="55" t="s">
        <v>72</v>
      </c>
      <c r="K111" s="55" t="s">
        <v>120</v>
      </c>
      <c r="L111" s="168">
        <v>80.2</v>
      </c>
      <c r="M111" s="168">
        <v>57</v>
      </c>
      <c r="N111" s="117">
        <f>ROUND(SUMIF(PhasesTable[CIP '#],ProjectsTable[[#This Row],[CIP '#]],PhasesTable[Lifetime Actual Thru FY 2016 (Unaudited)]),0)</f>
        <v>0</v>
      </c>
      <c r="O111" s="117">
        <f>ROUND(SUMIF(PhasesTable[CIP '#],ProjectsTable[[#This Row],[CIP '#]],PhasesTable[Projected Expenditures FY 2017]),0)</f>
        <v>0</v>
      </c>
      <c r="P111" s="118">
        <f>ROUND(SUMIF(PhasesTable[CIP '#],ProjectsTable[[#This Row],[CIP '#]],PhasesTable[Projected Expenditures FY 2018]),0)</f>
        <v>400</v>
      </c>
      <c r="Q111" s="119">
        <f>ROUND(SUMIF(PhasesTable[CIP '#],ProjectsTable[[#This Row],[CIP '#]],PhasesTable[Projected Expenditures FY 2019]),0)</f>
        <v>1400</v>
      </c>
      <c r="R111" s="119">
        <f>ROUND(SUMIF(PhasesTable[CIP '#],ProjectsTable[[#This Row],[CIP '#]],PhasesTable[Projected Expenditures FY 2020]),0)</f>
        <v>5200</v>
      </c>
      <c r="S111" s="119">
        <f>ROUND(SUMIF(PhasesTable[CIP '#],ProjectsTable[[#This Row],[CIP '#]],PhasesTable[Projected Expenditures FY 2021]),0)</f>
        <v>2000</v>
      </c>
      <c r="T111" s="120">
        <f>ROUND(SUMIF(PhasesTable[CIP '#],ProjectsTable[[#This Row],[CIP '#]],PhasesTable[Projected Expenditures FY 2022]),0)</f>
        <v>633</v>
      </c>
      <c r="U111" s="117">
        <f>ROUND(SUMIF(PhasesTable[CIP '#],ProjectsTable[[#This Row],[CIP '#]],PhasesTable[Projected Expenditures FY 2023 &amp; Beyond]),0)</f>
        <v>0</v>
      </c>
      <c r="V111" s="121">
        <f>ROUND(SUMIF(PhasesTable[CIP '#],ProjectsTable[[#This Row],[CIP '#]],PhasesTable[2018-2022 CIP Total]),0)</f>
        <v>9633</v>
      </c>
      <c r="W111" s="122">
        <f>ROUND(SUMIF(PhasesTable[CIP '#],ProjectsTable[[#This Row],[CIP '#]],PhasesTable[Project Total]),0)</f>
        <v>9633</v>
      </c>
      <c r="X111" s="169" t="s">
        <v>125</v>
      </c>
    </row>
    <row r="112" spans="1:24" s="43" customFormat="1" ht="28.5" x14ac:dyDescent="0.45">
      <c r="A112" s="20">
        <v>93</v>
      </c>
      <c r="B112" s="165">
        <v>1383</v>
      </c>
      <c r="C112" s="166" t="s">
        <v>303</v>
      </c>
      <c r="D112" s="23" t="s">
        <v>23</v>
      </c>
      <c r="E112" s="55">
        <v>2017</v>
      </c>
      <c r="F112" s="55">
        <v>213</v>
      </c>
      <c r="G112" s="55">
        <v>213008</v>
      </c>
      <c r="H112" s="55" t="s">
        <v>119</v>
      </c>
      <c r="I112" s="55" t="s">
        <v>119</v>
      </c>
      <c r="J112" s="55" t="s">
        <v>72</v>
      </c>
      <c r="K112" s="55" t="s">
        <v>140</v>
      </c>
      <c r="L112" s="168">
        <v>82.4</v>
      </c>
      <c r="M112" s="168">
        <v>53.8</v>
      </c>
      <c r="N112" s="117">
        <f>ROUND(SUMIF(PhasesTable[CIP '#],ProjectsTable[[#This Row],[CIP '#]],PhasesTable[Lifetime Actual Thru FY 2016 (Unaudited)]),0)</f>
        <v>0</v>
      </c>
      <c r="O112" s="117">
        <f>ROUND(SUMIF(PhasesTable[CIP '#],ProjectsTable[[#This Row],[CIP '#]],PhasesTable[Projected Expenditures FY 2017]),0)</f>
        <v>0</v>
      </c>
      <c r="P112" s="118">
        <f>ROUND(SUMIF(PhasesTable[CIP '#],ProjectsTable[[#This Row],[CIP '#]],PhasesTable[Projected Expenditures FY 2018]),0)</f>
        <v>530</v>
      </c>
      <c r="Q112" s="119">
        <f>ROUND(SUMIF(PhasesTable[CIP '#],ProjectsTable[[#This Row],[CIP '#]],PhasesTable[Projected Expenditures FY 2019]),0)</f>
        <v>1045</v>
      </c>
      <c r="R112" s="119">
        <f>ROUND(SUMIF(PhasesTable[CIP '#],ProjectsTable[[#This Row],[CIP '#]],PhasesTable[Projected Expenditures FY 2020]),0)</f>
        <v>6225</v>
      </c>
      <c r="S112" s="119">
        <f>ROUND(SUMIF(PhasesTable[CIP '#],ProjectsTable[[#This Row],[CIP '#]],PhasesTable[Projected Expenditures FY 2021]),0)</f>
        <v>5725</v>
      </c>
      <c r="T112" s="120">
        <f>ROUND(SUMIF(PhasesTable[CIP '#],ProjectsTable[[#This Row],[CIP '#]],PhasesTable[Projected Expenditures FY 2022]),0)</f>
        <v>4791</v>
      </c>
      <c r="U112" s="117">
        <f>ROUND(SUMIF(PhasesTable[CIP '#],ProjectsTable[[#This Row],[CIP '#]],PhasesTable[Projected Expenditures FY 2023 &amp; Beyond]),0)</f>
        <v>0</v>
      </c>
      <c r="V112" s="121">
        <f>ROUND(SUMIF(PhasesTable[CIP '#],ProjectsTable[[#This Row],[CIP '#]],PhasesTable[2018-2022 CIP Total]),0)</f>
        <v>18316</v>
      </c>
      <c r="W112" s="122">
        <f>ROUND(SUMIF(PhasesTable[CIP '#],ProjectsTable[[#This Row],[CIP '#]],PhasesTable[Project Total]),0)</f>
        <v>18316</v>
      </c>
      <c r="X112" s="169" t="s">
        <v>130</v>
      </c>
    </row>
    <row r="113" spans="1:24" s="43" customFormat="1" ht="28.5" x14ac:dyDescent="0.45">
      <c r="A113" s="20">
        <v>95</v>
      </c>
      <c r="B113" s="165">
        <v>1384</v>
      </c>
      <c r="C113" s="166" t="s">
        <v>150</v>
      </c>
      <c r="D113" s="23" t="s">
        <v>23</v>
      </c>
      <c r="E113" s="55">
        <v>2017</v>
      </c>
      <c r="F113" s="55">
        <v>215</v>
      </c>
      <c r="G113" s="55">
        <v>215001</v>
      </c>
      <c r="H113" s="55" t="s">
        <v>119</v>
      </c>
      <c r="I113" s="55" t="s">
        <v>119</v>
      </c>
      <c r="J113" s="55" t="s">
        <v>72</v>
      </c>
      <c r="K113" s="55" t="s">
        <v>151</v>
      </c>
      <c r="L113" s="168">
        <v>82</v>
      </c>
      <c r="M113" s="168">
        <v>90.600000000000009</v>
      </c>
      <c r="N113" s="117">
        <f>ROUND(SUMIF(PhasesTable[CIP '#],ProjectsTable[[#This Row],[CIP '#]],PhasesTable[Lifetime Actual Thru FY 2016 (Unaudited)]),0)</f>
        <v>0</v>
      </c>
      <c r="O113" s="117">
        <f>ROUND(SUMIF(PhasesTable[CIP '#],ProjectsTable[[#This Row],[CIP '#]],PhasesTable[Projected Expenditures FY 2017]),0)</f>
        <v>3520</v>
      </c>
      <c r="P113" s="118">
        <f>ROUND(SUMIF(PhasesTable[CIP '#],ProjectsTable[[#This Row],[CIP '#]],PhasesTable[Projected Expenditures FY 2018]),0)</f>
        <v>2247</v>
      </c>
      <c r="Q113" s="119">
        <f>ROUND(SUMIF(PhasesTable[CIP '#],ProjectsTable[[#This Row],[CIP '#]],PhasesTable[Projected Expenditures FY 2019]),0)</f>
        <v>6400</v>
      </c>
      <c r="R113" s="119">
        <f>ROUND(SUMIF(PhasesTable[CIP '#],ProjectsTable[[#This Row],[CIP '#]],PhasesTable[Projected Expenditures FY 2020]),0)</f>
        <v>9000</v>
      </c>
      <c r="S113" s="119">
        <f>ROUND(SUMIF(PhasesTable[CIP '#],ProjectsTable[[#This Row],[CIP '#]],PhasesTable[Projected Expenditures FY 2021]),0)</f>
        <v>7200</v>
      </c>
      <c r="T113" s="120">
        <f>ROUND(SUMIF(PhasesTable[CIP '#],ProjectsTable[[#This Row],[CIP '#]],PhasesTable[Projected Expenditures FY 2022]),0)</f>
        <v>3610</v>
      </c>
      <c r="U113" s="117">
        <f>ROUND(SUMIF(PhasesTable[CIP '#],ProjectsTable[[#This Row],[CIP '#]],PhasesTable[Projected Expenditures FY 2023 &amp; Beyond]),0)</f>
        <v>0</v>
      </c>
      <c r="V113" s="121">
        <f>ROUND(SUMIF(PhasesTable[CIP '#],ProjectsTable[[#This Row],[CIP '#]],PhasesTable[2018-2022 CIP Total]),0)</f>
        <v>28457</v>
      </c>
      <c r="W113" s="122">
        <f>ROUND(SUMIF(PhasesTable[CIP '#],ProjectsTable[[#This Row],[CIP '#]],PhasesTable[Project Total]),0)</f>
        <v>31977</v>
      </c>
      <c r="X113" s="169" t="s">
        <v>130</v>
      </c>
    </row>
    <row r="114" spans="1:24" s="18" customFormat="1" ht="42.75" x14ac:dyDescent="0.45">
      <c r="A114" s="20">
        <v>80</v>
      </c>
      <c r="B114" s="165">
        <v>1385</v>
      </c>
      <c r="C114" s="166" t="s">
        <v>136</v>
      </c>
      <c r="D114" s="23" t="s">
        <v>23</v>
      </c>
      <c r="E114" s="55">
        <v>2017</v>
      </c>
      <c r="F114" s="55">
        <v>212</v>
      </c>
      <c r="G114" s="55">
        <v>212007</v>
      </c>
      <c r="H114" s="55" t="s">
        <v>119</v>
      </c>
      <c r="I114" s="55" t="s">
        <v>119</v>
      </c>
      <c r="J114" s="55" t="s">
        <v>72</v>
      </c>
      <c r="K114" s="55" t="s">
        <v>133</v>
      </c>
      <c r="L114" s="168">
        <v>62.4</v>
      </c>
      <c r="M114" s="168">
        <v>40.799999999999997</v>
      </c>
      <c r="N114" s="117">
        <f>ROUND(SUMIF(PhasesTable[CIP '#],ProjectsTable[[#This Row],[CIP '#]],PhasesTable[Lifetime Actual Thru FY 2016 (Unaudited)]),0)</f>
        <v>0</v>
      </c>
      <c r="O114" s="117">
        <f>ROUND(SUMIF(PhasesTable[CIP '#],ProjectsTable[[#This Row],[CIP '#]],PhasesTable[Projected Expenditures FY 2017]),0)</f>
        <v>0</v>
      </c>
      <c r="P114" s="118">
        <f>ROUND(SUMIF(PhasesTable[CIP '#],ProjectsTable[[#This Row],[CIP '#]],PhasesTable[Projected Expenditures FY 2018]),0)</f>
        <v>301</v>
      </c>
      <c r="Q114" s="119">
        <f>ROUND(SUMIF(PhasesTable[CIP '#],ProjectsTable[[#This Row],[CIP '#]],PhasesTable[Projected Expenditures FY 2019]),0)</f>
        <v>3576</v>
      </c>
      <c r="R114" s="119">
        <f>ROUND(SUMIF(PhasesTable[CIP '#],ProjectsTable[[#This Row],[CIP '#]],PhasesTable[Projected Expenditures FY 2020]),0)</f>
        <v>5543</v>
      </c>
      <c r="S114" s="119">
        <f>ROUND(SUMIF(PhasesTable[CIP '#],ProjectsTable[[#This Row],[CIP '#]],PhasesTable[Projected Expenditures FY 2021]),0)</f>
        <v>5540</v>
      </c>
      <c r="T114" s="120">
        <f>ROUND(SUMIF(PhasesTable[CIP '#],ProjectsTable[[#This Row],[CIP '#]],PhasesTable[Projected Expenditures FY 2022]),0)</f>
        <v>5540</v>
      </c>
      <c r="U114" s="117">
        <f>ROUND(SUMIF(PhasesTable[CIP '#],ProjectsTable[[#This Row],[CIP '#]],PhasesTable[Projected Expenditures FY 2023 &amp; Beyond]),0)</f>
        <v>10499</v>
      </c>
      <c r="V114" s="121">
        <f>ROUND(SUMIF(PhasesTable[CIP '#],ProjectsTable[[#This Row],[CIP '#]],PhasesTable[2018-2022 CIP Total]),0)</f>
        <v>20500</v>
      </c>
      <c r="W114" s="122">
        <f>ROUND(SUMIF(PhasesTable[CIP '#],ProjectsTable[[#This Row],[CIP '#]],PhasesTable[Project Total]),0)</f>
        <v>30999</v>
      </c>
      <c r="X114" s="169" t="s">
        <v>125</v>
      </c>
    </row>
    <row r="115" spans="1:24" s="43" customFormat="1" ht="28.5" x14ac:dyDescent="0.45">
      <c r="A115" s="20">
        <v>77</v>
      </c>
      <c r="B115" s="165">
        <v>1386</v>
      </c>
      <c r="C115" s="166" t="s">
        <v>131</v>
      </c>
      <c r="D115" s="23" t="s">
        <v>23</v>
      </c>
      <c r="E115" s="55">
        <v>2017</v>
      </c>
      <c r="F115" s="55">
        <v>211</v>
      </c>
      <c r="G115" s="55">
        <v>211009</v>
      </c>
      <c r="H115" s="55" t="s">
        <v>119</v>
      </c>
      <c r="I115" s="55" t="s">
        <v>119</v>
      </c>
      <c r="J115" s="55" t="s">
        <v>72</v>
      </c>
      <c r="K115" s="55" t="s">
        <v>120</v>
      </c>
      <c r="L115" s="168">
        <v>69.8</v>
      </c>
      <c r="M115" s="168">
        <v>49.400000000000006</v>
      </c>
      <c r="N115" s="117">
        <f>ROUND(SUMIF(PhasesTable[CIP '#],ProjectsTable[[#This Row],[CIP '#]],PhasesTable[Lifetime Actual Thru FY 2016 (Unaudited)]),0)</f>
        <v>0</v>
      </c>
      <c r="O115" s="117">
        <f>ROUND(SUMIF(PhasesTable[CIP '#],ProjectsTable[[#This Row],[CIP '#]],PhasesTable[Projected Expenditures FY 2017]),0)</f>
        <v>0</v>
      </c>
      <c r="P115" s="118">
        <f>ROUND(SUMIF(PhasesTable[CIP '#],ProjectsTable[[#This Row],[CIP '#]],PhasesTable[Projected Expenditures FY 2018]),0)</f>
        <v>266</v>
      </c>
      <c r="Q115" s="119">
        <f>ROUND(SUMIF(PhasesTable[CIP '#],ProjectsTable[[#This Row],[CIP '#]],PhasesTable[Projected Expenditures FY 2019]),0)</f>
        <v>324</v>
      </c>
      <c r="R115" s="119">
        <f>ROUND(SUMIF(PhasesTable[CIP '#],ProjectsTable[[#This Row],[CIP '#]],PhasesTable[Projected Expenditures FY 2020]),0)</f>
        <v>1870</v>
      </c>
      <c r="S115" s="119">
        <f>ROUND(SUMIF(PhasesTable[CIP '#],ProjectsTable[[#This Row],[CIP '#]],PhasesTable[Projected Expenditures FY 2021]),0)</f>
        <v>2671</v>
      </c>
      <c r="T115" s="120">
        <f>ROUND(SUMIF(PhasesTable[CIP '#],ProjectsTable[[#This Row],[CIP '#]],PhasesTable[Projected Expenditures FY 2022]),0)</f>
        <v>2670</v>
      </c>
      <c r="U115" s="117">
        <f>ROUND(SUMIF(PhasesTable[CIP '#],ProjectsTable[[#This Row],[CIP '#]],PhasesTable[Projected Expenditures FY 2023 &amp; Beyond]),0)</f>
        <v>2679</v>
      </c>
      <c r="V115" s="121">
        <f>ROUND(SUMIF(PhasesTable[CIP '#],ProjectsTable[[#This Row],[CIP '#]],PhasesTable[2018-2022 CIP Total]),0)</f>
        <v>7801</v>
      </c>
      <c r="W115" s="122">
        <f>ROUND(SUMIF(PhasesTable[CIP '#],ProjectsTable[[#This Row],[CIP '#]],PhasesTable[Project Total]),0)</f>
        <v>10480</v>
      </c>
      <c r="X115" s="169" t="s">
        <v>130</v>
      </c>
    </row>
    <row r="116" spans="1:24" s="43" customFormat="1" ht="57" x14ac:dyDescent="0.45">
      <c r="A116" s="20">
        <v>121</v>
      </c>
      <c r="B116" s="165">
        <v>1387</v>
      </c>
      <c r="C116" s="166" t="s">
        <v>178</v>
      </c>
      <c r="D116" s="23" t="s">
        <v>23</v>
      </c>
      <c r="E116" s="55">
        <v>2017</v>
      </c>
      <c r="F116" s="55">
        <v>331</v>
      </c>
      <c r="G116" s="55">
        <v>331002</v>
      </c>
      <c r="H116" s="55" t="s">
        <v>119</v>
      </c>
      <c r="I116" s="55" t="s">
        <v>280</v>
      </c>
      <c r="J116" s="55" t="s">
        <v>177</v>
      </c>
      <c r="K116" s="55" t="s">
        <v>67</v>
      </c>
      <c r="L116" s="168">
        <v>73.400000000000006</v>
      </c>
      <c r="M116" s="168">
        <v>40.4</v>
      </c>
      <c r="N116" s="117">
        <f>ROUND(SUMIF(PhasesTable[CIP '#],ProjectsTable[[#This Row],[CIP '#]],PhasesTable[Lifetime Actual Thru FY 2016 (Unaudited)]),0)</f>
        <v>0</v>
      </c>
      <c r="O116" s="117">
        <f>ROUND(SUMIF(PhasesTable[CIP '#],ProjectsTable[[#This Row],[CIP '#]],PhasesTable[Projected Expenditures FY 2017]),0)</f>
        <v>0</v>
      </c>
      <c r="P116" s="118">
        <f>ROUND(SUMIF(PhasesTable[CIP '#],ProjectsTable[[#This Row],[CIP '#]],PhasesTable[Projected Expenditures FY 2018]),0)</f>
        <v>2200</v>
      </c>
      <c r="Q116" s="119">
        <f>ROUND(SUMIF(PhasesTable[CIP '#],ProjectsTable[[#This Row],[CIP '#]],PhasesTable[Projected Expenditures FY 2019]),0)</f>
        <v>2060</v>
      </c>
      <c r="R116" s="119">
        <f>ROUND(SUMIF(PhasesTable[CIP '#],ProjectsTable[[#This Row],[CIP '#]],PhasesTable[Projected Expenditures FY 2020]),0)</f>
        <v>1060</v>
      </c>
      <c r="S116" s="119">
        <f>ROUND(SUMIF(PhasesTable[CIP '#],ProjectsTable[[#This Row],[CIP '#]],PhasesTable[Projected Expenditures FY 2021]),0)</f>
        <v>1050</v>
      </c>
      <c r="T116" s="120">
        <f>ROUND(SUMIF(PhasesTable[CIP '#],ProjectsTable[[#This Row],[CIP '#]],PhasesTable[Projected Expenditures FY 2022]),0)</f>
        <v>540</v>
      </c>
      <c r="U116" s="117">
        <f>ROUND(SUMIF(PhasesTable[CIP '#],ProjectsTable[[#This Row],[CIP '#]],PhasesTable[Projected Expenditures FY 2023 &amp; Beyond]),0)</f>
        <v>2140</v>
      </c>
      <c r="V116" s="121">
        <f>ROUND(SUMIF(PhasesTable[CIP '#],ProjectsTable[[#This Row],[CIP '#]],PhasesTable[2018-2022 CIP Total]),0)</f>
        <v>6910</v>
      </c>
      <c r="W116" s="122">
        <f>ROUND(SUMIF(PhasesTable[CIP '#],ProjectsTable[[#This Row],[CIP '#]],PhasesTable[Project Total]),0)</f>
        <v>9050</v>
      </c>
      <c r="X116" s="168" t="s">
        <v>179</v>
      </c>
    </row>
    <row r="117" spans="1:24" s="43" customFormat="1" ht="28.5" x14ac:dyDescent="0.45">
      <c r="A117" s="20">
        <v>118</v>
      </c>
      <c r="B117" s="165">
        <v>1388</v>
      </c>
      <c r="C117" s="166" t="s">
        <v>175</v>
      </c>
      <c r="D117" s="23" t="s">
        <v>23</v>
      </c>
      <c r="E117" s="55">
        <v>2017</v>
      </c>
      <c r="F117" s="55">
        <v>251</v>
      </c>
      <c r="G117" s="55">
        <v>251002</v>
      </c>
      <c r="H117" s="55" t="s">
        <v>119</v>
      </c>
      <c r="I117" s="55" t="s">
        <v>119</v>
      </c>
      <c r="J117" s="55" t="s">
        <v>67</v>
      </c>
      <c r="K117" s="55" t="s">
        <v>67</v>
      </c>
      <c r="L117" s="168">
        <v>77</v>
      </c>
      <c r="M117" s="168">
        <v>33</v>
      </c>
      <c r="N117" s="117">
        <f>ROUND(SUMIF(PhasesTable[CIP '#],ProjectsTable[[#This Row],[CIP '#]],PhasesTable[Lifetime Actual Thru FY 2016 (Unaudited)]),0)</f>
        <v>0</v>
      </c>
      <c r="O117" s="117">
        <f>ROUND(SUMIF(PhasesTable[CIP '#],ProjectsTable[[#This Row],[CIP '#]],PhasesTable[Projected Expenditures FY 2017]),0)</f>
        <v>0</v>
      </c>
      <c r="P117" s="118">
        <f>ROUND(SUMIF(PhasesTable[CIP '#],ProjectsTable[[#This Row],[CIP '#]],PhasesTable[Projected Expenditures FY 2018]),0)</f>
        <v>0</v>
      </c>
      <c r="Q117" s="119">
        <f>ROUND(SUMIF(PhasesTable[CIP '#],ProjectsTable[[#This Row],[CIP '#]],PhasesTable[Projected Expenditures FY 2019]),0)</f>
        <v>0</v>
      </c>
      <c r="R117" s="119">
        <f>ROUND(SUMIF(PhasesTable[CIP '#],ProjectsTable[[#This Row],[CIP '#]],PhasesTable[Projected Expenditures FY 2020]),0)</f>
        <v>0</v>
      </c>
      <c r="S117" s="119">
        <f>ROUND(SUMIF(PhasesTable[CIP '#],ProjectsTable[[#This Row],[CIP '#]],PhasesTable[Projected Expenditures FY 2021]),0)</f>
        <v>3125</v>
      </c>
      <c r="T117" s="120">
        <f>ROUND(SUMIF(PhasesTable[CIP '#],ProjectsTable[[#This Row],[CIP '#]],PhasesTable[Projected Expenditures FY 2022]),0)</f>
        <v>2737</v>
      </c>
      <c r="U117" s="117">
        <f>ROUND(SUMIF(PhasesTable[CIP '#],ProjectsTable[[#This Row],[CIP '#]],PhasesTable[Projected Expenditures FY 2023 &amp; Beyond]),0)</f>
        <v>0</v>
      </c>
      <c r="V117" s="121">
        <f>ROUND(SUMIF(PhasesTable[CIP '#],ProjectsTable[[#This Row],[CIP '#]],PhasesTable[2018-2022 CIP Total]),0)</f>
        <v>5862</v>
      </c>
      <c r="W117" s="122">
        <f>ROUND(SUMIF(PhasesTable[CIP '#],ProjectsTable[[#This Row],[CIP '#]],PhasesTable[Project Total]),0)</f>
        <v>5862</v>
      </c>
      <c r="X117" s="168" t="s">
        <v>125</v>
      </c>
    </row>
    <row r="118" spans="1:24" s="18" customFormat="1" ht="42.75" x14ac:dyDescent="0.45">
      <c r="A118" s="158">
        <v>26</v>
      </c>
      <c r="B118" s="159">
        <v>1389</v>
      </c>
      <c r="C118" s="160" t="s">
        <v>61</v>
      </c>
      <c r="D118" s="161" t="s">
        <v>23</v>
      </c>
      <c r="E118" s="162">
        <v>2016</v>
      </c>
      <c r="F118" s="162">
        <v>114</v>
      </c>
      <c r="G118" s="170">
        <v>114013</v>
      </c>
      <c r="H118" s="162" t="s">
        <v>24</v>
      </c>
      <c r="I118" s="162" t="s">
        <v>24</v>
      </c>
      <c r="J118" s="162" t="s">
        <v>25</v>
      </c>
      <c r="K118" s="162" t="s">
        <v>46</v>
      </c>
      <c r="L118" s="161">
        <v>68.2</v>
      </c>
      <c r="M118" s="163" t="s">
        <v>27</v>
      </c>
      <c r="N118" s="226">
        <f>ROUND(SUMIF(PhasesTable[CIP '#],ProjectsTable[[#This Row],[CIP '#]],PhasesTable[Lifetime Actual Thru FY 2016 (Unaudited)]),0)</f>
        <v>0</v>
      </c>
      <c r="O118" s="227">
        <f>ROUND(SUMIF(PhasesTable[CIP '#],ProjectsTable[[#This Row],[CIP '#]],PhasesTable[Projected Expenditures FY 2017]),0)</f>
        <v>200</v>
      </c>
      <c r="P118" s="228">
        <f>ROUND(SUMIF(PhasesTable[CIP '#],ProjectsTable[[#This Row],[CIP '#]],PhasesTable[Projected Expenditures FY 2018]),0)</f>
        <v>3300</v>
      </c>
      <c r="Q118" s="229">
        <f>ROUND(SUMIF(PhasesTable[CIP '#],ProjectsTable[[#This Row],[CIP '#]],PhasesTable[Projected Expenditures FY 2019]),0)</f>
        <v>4000</v>
      </c>
      <c r="R118" s="229">
        <f>ROUND(SUMIF(PhasesTable[CIP '#],ProjectsTable[[#This Row],[CIP '#]],PhasesTable[Projected Expenditures FY 2020]),0)</f>
        <v>0</v>
      </c>
      <c r="S118" s="229">
        <f>ROUND(SUMIF(PhasesTable[CIP '#],ProjectsTable[[#This Row],[CIP '#]],PhasesTable[Projected Expenditures FY 2021]),0)</f>
        <v>0</v>
      </c>
      <c r="T118" s="230">
        <f>ROUND(SUMIF(PhasesTable[CIP '#],ProjectsTable[[#This Row],[CIP '#]],PhasesTable[Projected Expenditures FY 2022]),0)</f>
        <v>0</v>
      </c>
      <c r="U118" s="227">
        <f>ROUND(SUMIF(PhasesTable[CIP '#],ProjectsTable[[#This Row],[CIP '#]],PhasesTable[Projected Expenditures FY 2023 &amp; Beyond]),0)</f>
        <v>0</v>
      </c>
      <c r="V118" s="231">
        <f>ROUND(SUMIF(PhasesTable[CIP '#],ProjectsTable[[#This Row],[CIP '#]],PhasesTable[2018-2022 CIP Total]),0)</f>
        <v>7300</v>
      </c>
      <c r="W118" s="232">
        <f>ROUND(SUMIF(PhasesTable[CIP '#],ProjectsTable[[#This Row],[CIP '#]],PhasesTable[Project Total]),0)</f>
        <v>7500</v>
      </c>
      <c r="X118" s="164" t="s">
        <v>28</v>
      </c>
    </row>
    <row r="119" spans="1:24" s="43" customFormat="1" ht="28.5" x14ac:dyDescent="0.45">
      <c r="A119" s="20">
        <v>113</v>
      </c>
      <c r="B119" s="165">
        <v>1391</v>
      </c>
      <c r="C119" s="166" t="s">
        <v>170</v>
      </c>
      <c r="D119" s="23" t="s">
        <v>23</v>
      </c>
      <c r="E119" s="55">
        <v>2017</v>
      </c>
      <c r="F119" s="55">
        <v>233</v>
      </c>
      <c r="G119" s="55">
        <v>233002</v>
      </c>
      <c r="H119" s="55" t="s">
        <v>119</v>
      </c>
      <c r="I119" s="55" t="s">
        <v>119</v>
      </c>
      <c r="J119" s="55" t="s">
        <v>97</v>
      </c>
      <c r="K119" s="55" t="s">
        <v>169</v>
      </c>
      <c r="L119" s="168">
        <v>58.6</v>
      </c>
      <c r="M119" s="168">
        <v>30.6</v>
      </c>
      <c r="N119" s="117">
        <f>ROUND(SUMIF(PhasesTable[CIP '#],ProjectsTable[[#This Row],[CIP '#]],PhasesTable[Lifetime Actual Thru FY 2016 (Unaudited)]),0)</f>
        <v>0</v>
      </c>
      <c r="O119" s="117">
        <f>ROUND(SUMIF(PhasesTable[CIP '#],ProjectsTable[[#This Row],[CIP '#]],PhasesTable[Projected Expenditures FY 2017]),0)</f>
        <v>0</v>
      </c>
      <c r="P119" s="118">
        <f>ROUND(SUMIF(PhasesTable[CIP '#],ProjectsTable[[#This Row],[CIP '#]],PhasesTable[Projected Expenditures FY 2018]),0)</f>
        <v>86</v>
      </c>
      <c r="Q119" s="119">
        <f>ROUND(SUMIF(PhasesTable[CIP '#],ProjectsTable[[#This Row],[CIP '#]],PhasesTable[Projected Expenditures FY 2019]),0)</f>
        <v>464</v>
      </c>
      <c r="R119" s="119">
        <f>ROUND(SUMIF(PhasesTable[CIP '#],ProjectsTable[[#This Row],[CIP '#]],PhasesTable[Projected Expenditures FY 2020]),0)</f>
        <v>2000</v>
      </c>
      <c r="S119" s="119">
        <f>ROUND(SUMIF(PhasesTable[CIP '#],ProjectsTable[[#This Row],[CIP '#]],PhasesTable[Projected Expenditures FY 2021]),0)</f>
        <v>1000</v>
      </c>
      <c r="T119" s="120">
        <f>ROUND(SUMIF(PhasesTable[CIP '#],ProjectsTable[[#This Row],[CIP '#]],PhasesTable[Projected Expenditures FY 2022]),0)</f>
        <v>0</v>
      </c>
      <c r="U119" s="117">
        <f>ROUND(SUMIF(PhasesTable[CIP '#],ProjectsTable[[#This Row],[CIP '#]],PhasesTable[Projected Expenditures FY 2023 &amp; Beyond]),0)</f>
        <v>0</v>
      </c>
      <c r="V119" s="121">
        <f>ROUND(SUMIF(PhasesTable[CIP '#],ProjectsTable[[#This Row],[CIP '#]],PhasesTable[2018-2022 CIP Total]),0)</f>
        <v>3550</v>
      </c>
      <c r="W119" s="122">
        <f>ROUND(SUMIF(PhasesTable[CIP '#],ProjectsTable[[#This Row],[CIP '#]],PhasesTable[Project Total]),0)</f>
        <v>3550</v>
      </c>
      <c r="X119" s="169" t="s">
        <v>85</v>
      </c>
    </row>
    <row r="120" spans="1:24" s="43" customFormat="1" ht="28.5" x14ac:dyDescent="0.45">
      <c r="A120" s="20">
        <v>107</v>
      </c>
      <c r="B120" s="165">
        <v>1392</v>
      </c>
      <c r="C120" s="166" t="s">
        <v>162</v>
      </c>
      <c r="D120" s="23" t="s">
        <v>23</v>
      </c>
      <c r="E120" s="55">
        <v>2017</v>
      </c>
      <c r="F120" s="55">
        <v>222</v>
      </c>
      <c r="G120" s="55">
        <v>222004</v>
      </c>
      <c r="H120" s="55" t="s">
        <v>119</v>
      </c>
      <c r="I120" s="55" t="s">
        <v>119</v>
      </c>
      <c r="J120" s="55" t="s">
        <v>74</v>
      </c>
      <c r="K120" s="55" t="s">
        <v>158</v>
      </c>
      <c r="L120" s="168">
        <v>72.599999999999994</v>
      </c>
      <c r="M120" s="168">
        <v>68.199999999999989</v>
      </c>
      <c r="N120" s="117">
        <f>ROUND(SUMIF(PhasesTable[CIP '#],ProjectsTable[[#This Row],[CIP '#]],PhasesTable[Lifetime Actual Thru FY 2016 (Unaudited)]),0)</f>
        <v>0</v>
      </c>
      <c r="O120" s="117">
        <f>ROUND(SUMIF(PhasesTable[CIP '#],ProjectsTable[[#This Row],[CIP '#]],PhasesTable[Projected Expenditures FY 2017]),0)</f>
        <v>0</v>
      </c>
      <c r="P120" s="118">
        <f>ROUND(SUMIF(PhasesTable[CIP '#],ProjectsTable[[#This Row],[CIP '#]],PhasesTable[Projected Expenditures FY 2018]),0)</f>
        <v>341</v>
      </c>
      <c r="Q120" s="119">
        <f>ROUND(SUMIF(PhasesTable[CIP '#],ProjectsTable[[#This Row],[CIP '#]],PhasesTable[Projected Expenditures FY 2019]),0)</f>
        <v>1000</v>
      </c>
      <c r="R120" s="119">
        <f>ROUND(SUMIF(PhasesTable[CIP '#],ProjectsTable[[#This Row],[CIP '#]],PhasesTable[Projected Expenditures FY 2020]),0)</f>
        <v>1422</v>
      </c>
      <c r="S120" s="119">
        <f>ROUND(SUMIF(PhasesTable[CIP '#],ProjectsTable[[#This Row],[CIP '#]],PhasesTable[Projected Expenditures FY 2021]),0)</f>
        <v>0</v>
      </c>
      <c r="T120" s="120">
        <f>ROUND(SUMIF(PhasesTable[CIP '#],ProjectsTable[[#This Row],[CIP '#]],PhasesTable[Projected Expenditures FY 2022]),0)</f>
        <v>0</v>
      </c>
      <c r="U120" s="117">
        <f>ROUND(SUMIF(PhasesTable[CIP '#],ProjectsTable[[#This Row],[CIP '#]],PhasesTable[Projected Expenditures FY 2023 &amp; Beyond]),0)</f>
        <v>0</v>
      </c>
      <c r="V120" s="121">
        <f>ROUND(SUMIF(PhasesTable[CIP '#],ProjectsTable[[#This Row],[CIP '#]],PhasesTable[2018-2022 CIP Total]),0)</f>
        <v>2763</v>
      </c>
      <c r="W120" s="122">
        <f>ROUND(SUMIF(PhasesTable[CIP '#],ProjectsTable[[#This Row],[CIP '#]],PhasesTable[Project Total]),0)</f>
        <v>2763</v>
      </c>
      <c r="X120" s="169" t="s">
        <v>85</v>
      </c>
    </row>
    <row r="121" spans="1:24" s="43" customFormat="1" ht="28.5" x14ac:dyDescent="0.45">
      <c r="A121" s="20">
        <v>108</v>
      </c>
      <c r="B121" s="165">
        <v>1393</v>
      </c>
      <c r="C121" s="166" t="s">
        <v>163</v>
      </c>
      <c r="D121" s="23" t="s">
        <v>23</v>
      </c>
      <c r="E121" s="55">
        <v>2017</v>
      </c>
      <c r="F121" s="55">
        <v>222</v>
      </c>
      <c r="G121" s="55">
        <v>222005</v>
      </c>
      <c r="H121" s="55" t="s">
        <v>119</v>
      </c>
      <c r="I121" s="55" t="s">
        <v>119</v>
      </c>
      <c r="J121" s="55" t="s">
        <v>74</v>
      </c>
      <c r="K121" s="55" t="s">
        <v>158</v>
      </c>
      <c r="L121" s="168">
        <v>65.8</v>
      </c>
      <c r="M121" s="168">
        <v>52.8</v>
      </c>
      <c r="N121" s="117">
        <f>ROUND(SUMIF(PhasesTable[CIP '#],ProjectsTable[[#This Row],[CIP '#]],PhasesTable[Lifetime Actual Thru FY 2016 (Unaudited)]),0)</f>
        <v>0</v>
      </c>
      <c r="O121" s="117">
        <f>ROUND(SUMIF(PhasesTable[CIP '#],ProjectsTable[[#This Row],[CIP '#]],PhasesTable[Projected Expenditures FY 2017]),0)</f>
        <v>0</v>
      </c>
      <c r="P121" s="118">
        <f>ROUND(SUMIF(PhasesTable[CIP '#],ProjectsTable[[#This Row],[CIP '#]],PhasesTable[Projected Expenditures FY 2018]),0)</f>
        <v>3196</v>
      </c>
      <c r="Q121" s="119">
        <f>ROUND(SUMIF(PhasesTable[CIP '#],ProjectsTable[[#This Row],[CIP '#]],PhasesTable[Projected Expenditures FY 2019]),0)</f>
        <v>2000</v>
      </c>
      <c r="R121" s="119">
        <f>ROUND(SUMIF(PhasesTable[CIP '#],ProjectsTable[[#This Row],[CIP '#]],PhasesTable[Projected Expenditures FY 2020]),0)</f>
        <v>2001</v>
      </c>
      <c r="S121" s="119">
        <f>ROUND(SUMIF(PhasesTable[CIP '#],ProjectsTable[[#This Row],[CIP '#]],PhasesTable[Projected Expenditures FY 2021]),0)</f>
        <v>0</v>
      </c>
      <c r="T121" s="120">
        <f>ROUND(SUMIF(PhasesTable[CIP '#],ProjectsTable[[#This Row],[CIP '#]],PhasesTable[Projected Expenditures FY 2022]),0)</f>
        <v>0</v>
      </c>
      <c r="U121" s="117">
        <f>ROUND(SUMIF(PhasesTable[CIP '#],ProjectsTable[[#This Row],[CIP '#]],PhasesTable[Projected Expenditures FY 2023 &amp; Beyond]),0)</f>
        <v>0</v>
      </c>
      <c r="V121" s="121">
        <f>ROUND(SUMIF(PhasesTable[CIP '#],ProjectsTable[[#This Row],[CIP '#]],PhasesTable[2018-2022 CIP Total]),0)</f>
        <v>7197</v>
      </c>
      <c r="W121" s="122">
        <f>ROUND(SUMIF(PhasesTable[CIP '#],ProjectsTable[[#This Row],[CIP '#]],PhasesTable[Project Total]),0)</f>
        <v>7197</v>
      </c>
      <c r="X121" s="169" t="s">
        <v>85</v>
      </c>
    </row>
    <row r="122" spans="1:24" s="18" customFormat="1" ht="28.5" x14ac:dyDescent="0.45">
      <c r="A122" s="75">
        <v>85</v>
      </c>
      <c r="B122" s="185">
        <v>1399</v>
      </c>
      <c r="C122" s="186" t="s">
        <v>139</v>
      </c>
      <c r="D122" s="24" t="s">
        <v>23</v>
      </c>
      <c r="E122" s="187">
        <v>2017</v>
      </c>
      <c r="F122" s="187">
        <v>213</v>
      </c>
      <c r="G122" s="187">
        <v>213009</v>
      </c>
      <c r="H122" s="187" t="s">
        <v>119</v>
      </c>
      <c r="I122" s="187" t="s">
        <v>119</v>
      </c>
      <c r="J122" s="187" t="s">
        <v>72</v>
      </c>
      <c r="K122" s="187" t="s">
        <v>140</v>
      </c>
      <c r="L122" s="168">
        <v>58.2</v>
      </c>
      <c r="M122" s="188">
        <v>39.399999999999991</v>
      </c>
      <c r="N122" s="117">
        <f>ROUND(SUMIF(PhasesTable[CIP '#],ProjectsTable[[#This Row],[CIP '#]],PhasesTable[Lifetime Actual Thru FY 2016 (Unaudited)]),0)</f>
        <v>0</v>
      </c>
      <c r="O122" s="117">
        <f>ROUND(SUMIF(PhasesTable[CIP '#],ProjectsTable[[#This Row],[CIP '#]],PhasesTable[Projected Expenditures FY 2017]),0)</f>
        <v>0</v>
      </c>
      <c r="P122" s="118">
        <f>ROUND(SUMIF(PhasesTable[CIP '#],ProjectsTable[[#This Row],[CIP '#]],PhasesTable[Projected Expenditures FY 2018]),0)</f>
        <v>0</v>
      </c>
      <c r="Q122" s="119">
        <f>ROUND(SUMIF(PhasesTable[CIP '#],ProjectsTable[[#This Row],[CIP '#]],PhasesTable[Projected Expenditures FY 2019]),0)</f>
        <v>500</v>
      </c>
      <c r="R122" s="119">
        <f>ROUND(SUMIF(PhasesTable[CIP '#],ProjectsTable[[#This Row],[CIP '#]],PhasesTable[Projected Expenditures FY 2020]),0)</f>
        <v>2000</v>
      </c>
      <c r="S122" s="119">
        <f>ROUND(SUMIF(PhasesTable[CIP '#],ProjectsTable[[#This Row],[CIP '#]],PhasesTable[Projected Expenditures FY 2021]),0)</f>
        <v>6250</v>
      </c>
      <c r="T122" s="120">
        <f>ROUND(SUMIF(PhasesTable[CIP '#],ProjectsTable[[#This Row],[CIP '#]],PhasesTable[Projected Expenditures FY 2022]),0)</f>
        <v>6250</v>
      </c>
      <c r="U122" s="117">
        <f>ROUND(SUMIF(PhasesTable[CIP '#],ProjectsTable[[#This Row],[CIP '#]],PhasesTable[Projected Expenditures FY 2023 &amp; Beyond]),0)</f>
        <v>0</v>
      </c>
      <c r="V122" s="121">
        <f>ROUND(SUMIF(PhasesTable[CIP '#],ProjectsTable[[#This Row],[CIP '#]],PhasesTable[2018-2022 CIP Total]),0)</f>
        <v>15000</v>
      </c>
      <c r="W122" s="144">
        <f>ROUND(SUMIF(PhasesTable[CIP '#],ProjectsTable[[#This Row],[CIP '#]],PhasesTable[Project Total]),0)</f>
        <v>15000</v>
      </c>
      <c r="X122" s="189" t="s">
        <v>130</v>
      </c>
    </row>
    <row r="123" spans="1:24" s="18" customFormat="1" ht="28.5" x14ac:dyDescent="0.45">
      <c r="A123" s="190">
        <v>48</v>
      </c>
      <c r="B123" s="191">
        <v>1400</v>
      </c>
      <c r="C123" s="192" t="s">
        <v>89</v>
      </c>
      <c r="D123" s="12" t="s">
        <v>70</v>
      </c>
      <c r="E123" s="170">
        <v>2017</v>
      </c>
      <c r="F123" s="170">
        <v>1706</v>
      </c>
      <c r="G123" s="170">
        <v>170600</v>
      </c>
      <c r="H123" s="170" t="s">
        <v>24</v>
      </c>
      <c r="I123" s="170" t="s">
        <v>24</v>
      </c>
      <c r="J123" s="170" t="s">
        <v>323</v>
      </c>
      <c r="K123" s="170" t="s">
        <v>323</v>
      </c>
      <c r="L123" s="181" t="s">
        <v>27</v>
      </c>
      <c r="M123" s="193" t="s">
        <v>27</v>
      </c>
      <c r="N123" s="111">
        <f>ROUND(SUMIF(PhasesTable[CIP '#],ProjectsTable[[#This Row],[CIP '#]],PhasesTable[Lifetime Actual Thru FY 2016 (Unaudited)]),0)</f>
        <v>0</v>
      </c>
      <c r="O123" s="111">
        <f>ROUND(SUMIF(PhasesTable[CIP '#],ProjectsTable[[#This Row],[CIP '#]],PhasesTable[Projected Expenditures FY 2017]),0)</f>
        <v>0</v>
      </c>
      <c r="P123" s="112">
        <f>ROUND(SUMIF(PhasesTable[CIP '#],ProjectsTable[[#This Row],[CIP '#]],PhasesTable[Projected Expenditures FY 2018]),0)</f>
        <v>2626</v>
      </c>
      <c r="Q123" s="113">
        <f>ROUND(SUMIF(PhasesTable[CIP '#],ProjectsTable[[#This Row],[CIP '#]],PhasesTable[Projected Expenditures FY 2019]),0)</f>
        <v>2000</v>
      </c>
      <c r="R123" s="113">
        <f>ROUND(SUMIF(PhasesTable[CIP '#],ProjectsTable[[#This Row],[CIP '#]],PhasesTable[Projected Expenditures FY 2020]),0)</f>
        <v>2000</v>
      </c>
      <c r="S123" s="113">
        <f>ROUND(SUMIF(PhasesTable[CIP '#],ProjectsTable[[#This Row],[CIP '#]],PhasesTable[Projected Expenditures FY 2021]),0)</f>
        <v>2000</v>
      </c>
      <c r="T123" s="114">
        <f>ROUND(SUMIF(PhasesTable[CIP '#],ProjectsTable[[#This Row],[CIP '#]],PhasesTable[Projected Expenditures FY 2022]),0)</f>
        <v>2000</v>
      </c>
      <c r="U123" s="111">
        <f>ROUND(SUMIF(PhasesTable[CIP '#],ProjectsTable[[#This Row],[CIP '#]],PhasesTable[Projected Expenditures FY 2023 &amp; Beyond]),0)</f>
        <v>0</v>
      </c>
      <c r="V123" s="115">
        <f>ROUND(SUMIF(PhasesTable[CIP '#],ProjectsTable[[#This Row],[CIP '#]],PhasesTable[2018-2022 CIP Total]),0)</f>
        <v>10626</v>
      </c>
      <c r="W123" s="145">
        <f>ROUND(SUMIF(PhasesTable[CIP '#],ProjectsTable[[#This Row],[CIP '#]],PhasesTable[Project Total]),0)</f>
        <v>10626</v>
      </c>
      <c r="X123" s="194" t="s">
        <v>85</v>
      </c>
    </row>
    <row r="124" spans="1:24" s="50" customFormat="1" ht="28.5" x14ac:dyDescent="0.45">
      <c r="A124" s="190">
        <v>33</v>
      </c>
      <c r="B124" s="191">
        <v>1401</v>
      </c>
      <c r="C124" s="195" t="s">
        <v>69</v>
      </c>
      <c r="D124" s="162" t="s">
        <v>70</v>
      </c>
      <c r="E124" s="196">
        <v>2017</v>
      </c>
      <c r="F124" s="196">
        <v>1703</v>
      </c>
      <c r="G124" s="196">
        <v>170300</v>
      </c>
      <c r="H124" s="196" t="s">
        <v>24</v>
      </c>
      <c r="I124" s="196" t="s">
        <v>24</v>
      </c>
      <c r="J124" s="196" t="s">
        <v>323</v>
      </c>
      <c r="K124" s="196" t="s">
        <v>323</v>
      </c>
      <c r="L124" s="197" t="s">
        <v>27</v>
      </c>
      <c r="M124" s="197" t="s">
        <v>27</v>
      </c>
      <c r="N124" s="227">
        <f>ROUND(SUMIF(PhasesTable[CIP '#],ProjectsTable[[#This Row],[CIP '#]],PhasesTable[Lifetime Actual Thru FY 2016 (Unaudited)]),0)</f>
        <v>0</v>
      </c>
      <c r="O124" s="227">
        <f>ROUND(SUMIF(PhasesTable[CIP '#],ProjectsTable[[#This Row],[CIP '#]],PhasesTable[Projected Expenditures FY 2017]),0)</f>
        <v>0</v>
      </c>
      <c r="P124" s="228">
        <f>ROUND(SUMIF(PhasesTable[CIP '#],ProjectsTable[[#This Row],[CIP '#]],PhasesTable[Projected Expenditures FY 2018]),0)</f>
        <v>1500</v>
      </c>
      <c r="Q124" s="229">
        <f>ROUND(SUMIF(PhasesTable[CIP '#],ProjectsTable[[#This Row],[CIP '#]],PhasesTable[Projected Expenditures FY 2019]),0)</f>
        <v>1500</v>
      </c>
      <c r="R124" s="229">
        <f>ROUND(SUMIF(PhasesTable[CIP '#],ProjectsTable[[#This Row],[CIP '#]],PhasesTable[Projected Expenditures FY 2020]),0)</f>
        <v>1500</v>
      </c>
      <c r="S124" s="229">
        <f>ROUND(SUMIF(PhasesTable[CIP '#],ProjectsTable[[#This Row],[CIP '#]],PhasesTable[Projected Expenditures FY 2021]),0)</f>
        <v>1500</v>
      </c>
      <c r="T124" s="230">
        <f>ROUND(SUMIF(PhasesTable[CIP '#],ProjectsTable[[#This Row],[CIP '#]],PhasesTable[Projected Expenditures FY 2022]),0)</f>
        <v>1500</v>
      </c>
      <c r="U124" s="227">
        <f>ROUND(SUMIF(PhasesTable[CIP '#],ProjectsTable[[#This Row],[CIP '#]],PhasesTable[Projected Expenditures FY 2023 &amp; Beyond]),0)</f>
        <v>0</v>
      </c>
      <c r="V124" s="231">
        <f>ROUND(SUMIF(PhasesTable[CIP '#],ProjectsTable[[#This Row],[CIP '#]],PhasesTable[2018-2022 CIP Total]),0)</f>
        <v>7500</v>
      </c>
      <c r="W124" s="240">
        <f>ROUND(SUMIF(PhasesTable[CIP '#],ProjectsTable[[#This Row],[CIP '#]],PhasesTable[Project Total]),0)</f>
        <v>7500</v>
      </c>
      <c r="X124" s="198" t="s">
        <v>71</v>
      </c>
    </row>
    <row r="125" spans="1:24" s="19" customFormat="1" ht="28.5" x14ac:dyDescent="0.45">
      <c r="A125" s="75">
        <v>102</v>
      </c>
      <c r="B125" s="185">
        <v>1402</v>
      </c>
      <c r="C125" s="186" t="s">
        <v>156</v>
      </c>
      <c r="D125" s="24" t="s">
        <v>23</v>
      </c>
      <c r="E125" s="187">
        <v>2017</v>
      </c>
      <c r="F125" s="187">
        <v>216</v>
      </c>
      <c r="G125" s="187">
        <v>216007</v>
      </c>
      <c r="H125" s="187" t="s">
        <v>119</v>
      </c>
      <c r="I125" s="187" t="s">
        <v>119</v>
      </c>
      <c r="J125" s="187" t="s">
        <v>72</v>
      </c>
      <c r="K125" s="187" t="s">
        <v>67</v>
      </c>
      <c r="L125" s="168">
        <v>88</v>
      </c>
      <c r="M125" s="188">
        <v>73.400000000000006</v>
      </c>
      <c r="N125" s="117">
        <f>ROUND(SUMIF(PhasesTable[CIP '#],ProjectsTable[[#This Row],[CIP '#]],PhasesTable[Lifetime Actual Thru FY 2016 (Unaudited)]),0)</f>
        <v>0</v>
      </c>
      <c r="O125" s="117">
        <f>ROUND(SUMIF(PhasesTable[CIP '#],ProjectsTable[[#This Row],[CIP '#]],PhasesTable[Projected Expenditures FY 2017]),0)</f>
        <v>0</v>
      </c>
      <c r="P125" s="118">
        <f>ROUND(SUMIF(PhasesTable[CIP '#],ProjectsTable[[#This Row],[CIP '#]],PhasesTable[Projected Expenditures FY 2018]),0)</f>
        <v>3500</v>
      </c>
      <c r="Q125" s="119">
        <f>ROUND(SUMIF(PhasesTable[CIP '#],ProjectsTable[[#This Row],[CIP '#]],PhasesTable[Projected Expenditures FY 2019]),0)</f>
        <v>3500</v>
      </c>
      <c r="R125" s="119">
        <f>ROUND(SUMIF(PhasesTable[CIP '#],ProjectsTable[[#This Row],[CIP '#]],PhasesTable[Projected Expenditures FY 2020]),0)</f>
        <v>0</v>
      </c>
      <c r="S125" s="119">
        <f>ROUND(SUMIF(PhasesTable[CIP '#],ProjectsTable[[#This Row],[CIP '#]],PhasesTable[Projected Expenditures FY 2021]),0)</f>
        <v>0</v>
      </c>
      <c r="T125" s="120">
        <f>ROUND(SUMIF(PhasesTable[CIP '#],ProjectsTable[[#This Row],[CIP '#]],PhasesTable[Projected Expenditures FY 2022]),0)</f>
        <v>0</v>
      </c>
      <c r="U125" s="117">
        <f>ROUND(SUMIF(PhasesTable[CIP '#],ProjectsTable[[#This Row],[CIP '#]],PhasesTable[Projected Expenditures FY 2023 &amp; Beyond]),0)</f>
        <v>0</v>
      </c>
      <c r="V125" s="121">
        <f>ROUND(SUMIF(PhasesTable[CIP '#],ProjectsTable[[#This Row],[CIP '#]],PhasesTable[2018-2022 CIP Total]),0)</f>
        <v>7000</v>
      </c>
      <c r="W125" s="144">
        <f>ROUND(SUMIF(PhasesTable[CIP '#],ProjectsTable[[#This Row],[CIP '#]],PhasesTable[Project Total]),0)</f>
        <v>7000</v>
      </c>
      <c r="X125" s="188" t="s">
        <v>130</v>
      </c>
    </row>
    <row r="126" spans="1:24" s="43" customFormat="1" ht="28.5" x14ac:dyDescent="0.45">
      <c r="A126" s="158">
        <v>49</v>
      </c>
      <c r="B126" s="159">
        <v>1403</v>
      </c>
      <c r="C126" s="160" t="s">
        <v>90</v>
      </c>
      <c r="D126" s="161" t="s">
        <v>23</v>
      </c>
      <c r="E126" s="196">
        <v>2015</v>
      </c>
      <c r="F126" s="196">
        <v>122</v>
      </c>
      <c r="G126" s="196">
        <v>122011</v>
      </c>
      <c r="H126" s="196" t="s">
        <v>24</v>
      </c>
      <c r="I126" s="162" t="s">
        <v>24</v>
      </c>
      <c r="J126" s="161" t="s">
        <v>74</v>
      </c>
      <c r="K126" s="161" t="s">
        <v>75</v>
      </c>
      <c r="L126" s="199" t="s">
        <v>27</v>
      </c>
      <c r="M126" s="163" t="s">
        <v>27</v>
      </c>
      <c r="N126" s="241">
        <f>ROUND(SUMIF(PhasesTable[CIP '#],ProjectsTable[[#This Row],[CIP '#]],PhasesTable[Lifetime Actual Thru FY 2016 (Unaudited)]),0)</f>
        <v>0</v>
      </c>
      <c r="O126" s="227">
        <f>ROUND(SUMIF(PhasesTable[CIP '#],ProjectsTable[[#This Row],[CIP '#]],PhasesTable[Projected Expenditures FY 2017]),0)</f>
        <v>0</v>
      </c>
      <c r="P126" s="228">
        <f>ROUND(SUMIF(PhasesTable[CIP '#],ProjectsTable[[#This Row],[CIP '#]],PhasesTable[Projected Expenditures FY 2018]),0)</f>
        <v>1800</v>
      </c>
      <c r="Q126" s="229">
        <f>ROUND(SUMIF(PhasesTable[CIP '#],ProjectsTable[[#This Row],[CIP '#]],PhasesTable[Projected Expenditures FY 2019]),0)</f>
        <v>2200</v>
      </c>
      <c r="R126" s="229">
        <f>ROUND(SUMIF(PhasesTable[CIP '#],ProjectsTable[[#This Row],[CIP '#]],PhasesTable[Projected Expenditures FY 2020]),0)</f>
        <v>0</v>
      </c>
      <c r="S126" s="229">
        <f>ROUND(SUMIF(PhasesTable[CIP '#],ProjectsTable[[#This Row],[CIP '#]],PhasesTable[Projected Expenditures FY 2021]),0)</f>
        <v>0</v>
      </c>
      <c r="T126" s="230">
        <f>ROUND(SUMIF(PhasesTable[CIP '#],ProjectsTable[[#This Row],[CIP '#]],PhasesTable[Projected Expenditures FY 2022]),0)</f>
        <v>0</v>
      </c>
      <c r="U126" s="227">
        <f>ROUND(SUMIF(PhasesTable[CIP '#],ProjectsTable[[#This Row],[CIP '#]],PhasesTable[Projected Expenditures FY 2023 &amp; Beyond]),0)</f>
        <v>0</v>
      </c>
      <c r="V126" s="231">
        <f>ROUND(SUMIF(PhasesTable[CIP '#],ProjectsTable[[#This Row],[CIP '#]],PhasesTable[2018-2022 CIP Total]),0)</f>
        <v>4000</v>
      </c>
      <c r="W126" s="232">
        <f>ROUND(SUMIF(PhasesTable[CIP '#],ProjectsTable[[#This Row],[CIP '#]],PhasesTable[Project Total]),0)</f>
        <v>4000</v>
      </c>
      <c r="X126" s="164" t="s">
        <v>76</v>
      </c>
    </row>
    <row r="127" spans="1:24" s="43" customFormat="1" ht="28.5" x14ac:dyDescent="0.45">
      <c r="A127" s="158">
        <v>50</v>
      </c>
      <c r="B127" s="159">
        <v>1404</v>
      </c>
      <c r="C127" s="160" t="s">
        <v>91</v>
      </c>
      <c r="D127" s="161" t="s">
        <v>23</v>
      </c>
      <c r="E127" s="162">
        <v>2012</v>
      </c>
      <c r="F127" s="162">
        <v>122</v>
      </c>
      <c r="G127" s="162">
        <v>122012</v>
      </c>
      <c r="H127" s="162" t="s">
        <v>24</v>
      </c>
      <c r="I127" s="162" t="s">
        <v>24</v>
      </c>
      <c r="J127" s="161" t="s">
        <v>74</v>
      </c>
      <c r="K127" s="161" t="s">
        <v>75</v>
      </c>
      <c r="L127" s="161" t="s">
        <v>27</v>
      </c>
      <c r="M127" s="163" t="s">
        <v>27</v>
      </c>
      <c r="N127" s="242">
        <f>ROUND(SUMIF(PhasesTable[CIP '#],ProjectsTable[[#This Row],[CIP '#]],PhasesTable[Lifetime Actual Thru FY 2016 (Unaudited)]),0)</f>
        <v>0</v>
      </c>
      <c r="O127" s="227">
        <f>ROUND(SUMIF(PhasesTable[CIP '#],ProjectsTable[[#This Row],[CIP '#]],PhasesTable[Projected Expenditures FY 2017]),0)</f>
        <v>2000</v>
      </c>
      <c r="P127" s="228">
        <f>ROUND(SUMIF(PhasesTable[CIP '#],ProjectsTable[[#This Row],[CIP '#]],PhasesTable[Projected Expenditures FY 2018]),0)</f>
        <v>5061</v>
      </c>
      <c r="Q127" s="229">
        <f>ROUND(SUMIF(PhasesTable[CIP '#],ProjectsTable[[#This Row],[CIP '#]],PhasesTable[Projected Expenditures FY 2019]),0)</f>
        <v>0</v>
      </c>
      <c r="R127" s="229">
        <f>ROUND(SUMIF(PhasesTable[CIP '#],ProjectsTable[[#This Row],[CIP '#]],PhasesTable[Projected Expenditures FY 2020]),0)</f>
        <v>0</v>
      </c>
      <c r="S127" s="229">
        <f>ROUND(SUMIF(PhasesTable[CIP '#],ProjectsTable[[#This Row],[CIP '#]],PhasesTable[Projected Expenditures FY 2021]),0)</f>
        <v>0</v>
      </c>
      <c r="T127" s="230">
        <f>ROUND(SUMIF(PhasesTable[CIP '#],ProjectsTable[[#This Row],[CIP '#]],PhasesTable[Projected Expenditures FY 2022]),0)</f>
        <v>0</v>
      </c>
      <c r="U127" s="227">
        <f>ROUND(SUMIF(PhasesTable[CIP '#],ProjectsTable[[#This Row],[CIP '#]],PhasesTable[Projected Expenditures FY 2023 &amp; Beyond]),0)</f>
        <v>0</v>
      </c>
      <c r="V127" s="231">
        <f>ROUND(SUMIF(PhasesTable[CIP '#],ProjectsTable[[#This Row],[CIP '#]],PhasesTable[2018-2022 CIP Total]),0)</f>
        <v>5061</v>
      </c>
      <c r="W127" s="232">
        <f>ROUND(SUMIF(PhasesTable[CIP '#],ProjectsTable[[#This Row],[CIP '#]],PhasesTable[Project Total]),0)</f>
        <v>7061</v>
      </c>
      <c r="X127" s="164" t="s">
        <v>76</v>
      </c>
    </row>
    <row r="128" spans="1:24" s="18" customFormat="1" ht="28.5" x14ac:dyDescent="0.45">
      <c r="A128" s="190">
        <v>51</v>
      </c>
      <c r="B128" s="159">
        <v>1405</v>
      </c>
      <c r="C128" s="160" t="s">
        <v>92</v>
      </c>
      <c r="D128" s="161" t="s">
        <v>23</v>
      </c>
      <c r="E128" s="200">
        <v>2017</v>
      </c>
      <c r="F128" s="200">
        <v>122</v>
      </c>
      <c r="G128" s="200">
        <v>122013</v>
      </c>
      <c r="H128" s="200" t="s">
        <v>24</v>
      </c>
      <c r="I128" s="161" t="s">
        <v>24</v>
      </c>
      <c r="J128" s="161" t="s">
        <v>74</v>
      </c>
      <c r="K128" s="161" t="s">
        <v>75</v>
      </c>
      <c r="L128" s="161">
        <v>39.4</v>
      </c>
      <c r="M128" s="163" t="s">
        <v>27</v>
      </c>
      <c r="N128" s="241">
        <f>ROUND(SUMIF(PhasesTable[CIP '#],ProjectsTable[[#This Row],[CIP '#]],PhasesTable[Lifetime Actual Thru FY 2016 (Unaudited)]),0)</f>
        <v>0</v>
      </c>
      <c r="O128" s="241">
        <f>ROUND(SUMIF(PhasesTable[CIP '#],ProjectsTable[[#This Row],[CIP '#]],PhasesTable[Projected Expenditures FY 2017]),0)</f>
        <v>1300</v>
      </c>
      <c r="P128" s="228">
        <f>ROUND(SUMIF(PhasesTable[CIP '#],ProjectsTable[[#This Row],[CIP '#]],PhasesTable[Projected Expenditures FY 2018]),0)</f>
        <v>10500</v>
      </c>
      <c r="Q128" s="229">
        <f>ROUND(SUMIF(PhasesTable[CIP '#],ProjectsTable[[#This Row],[CIP '#]],PhasesTable[Projected Expenditures FY 2019]),0)</f>
        <v>12000</v>
      </c>
      <c r="R128" s="229">
        <f>ROUND(SUMIF(PhasesTable[CIP '#],ProjectsTable[[#This Row],[CIP '#]],PhasesTable[Projected Expenditures FY 2020]),0)</f>
        <v>6000</v>
      </c>
      <c r="S128" s="229">
        <f>ROUND(SUMIF(PhasesTable[CIP '#],ProjectsTable[[#This Row],[CIP '#]],PhasesTable[Projected Expenditures FY 2021]),0)</f>
        <v>0</v>
      </c>
      <c r="T128" s="230">
        <f>ROUND(SUMIF(PhasesTable[CIP '#],ProjectsTable[[#This Row],[CIP '#]],PhasesTable[Projected Expenditures FY 2022]),0)</f>
        <v>0</v>
      </c>
      <c r="U128" s="241">
        <f>ROUND(SUMIF(PhasesTable[CIP '#],ProjectsTable[[#This Row],[CIP '#]],PhasesTable[Projected Expenditures FY 2023 &amp; Beyond]),0)</f>
        <v>0</v>
      </c>
      <c r="V128" s="229">
        <f>ROUND(SUMIF(PhasesTable[CIP '#],ProjectsTable[[#This Row],[CIP '#]],PhasesTable[2018-2022 CIP Total]),0)</f>
        <v>28500</v>
      </c>
      <c r="W128" s="232">
        <f>ROUND(SUMIF(PhasesTable[CIP '#],ProjectsTable[[#This Row],[CIP '#]],PhasesTable[Project Total]),0)</f>
        <v>29800</v>
      </c>
      <c r="X128" s="164" t="s">
        <v>93</v>
      </c>
    </row>
    <row r="129" spans="1:24" ht="42.75" x14ac:dyDescent="0.45">
      <c r="A129" s="201">
        <v>137</v>
      </c>
      <c r="B129" s="201">
        <v>1407</v>
      </c>
      <c r="C129" s="202" t="s">
        <v>328</v>
      </c>
      <c r="D129" s="203" t="s">
        <v>23</v>
      </c>
      <c r="E129" s="204">
        <v>2017</v>
      </c>
      <c r="F129" s="204">
        <v>114</v>
      </c>
      <c r="G129" s="204">
        <v>114014</v>
      </c>
      <c r="H129" s="205" t="s">
        <v>24</v>
      </c>
      <c r="I129" s="203" t="s">
        <v>24</v>
      </c>
      <c r="J129" s="203" t="s">
        <v>25</v>
      </c>
      <c r="K129" s="203" t="s">
        <v>46</v>
      </c>
      <c r="L129" s="206">
        <v>46.8</v>
      </c>
      <c r="M129" s="206" t="s">
        <v>27</v>
      </c>
      <c r="N129" s="243">
        <f>ROUND(SUMIF(PhasesTable[CIP '#],ProjectsTable[[#This Row],[CIP '#]],PhasesTable[Lifetime Actual Thru FY 2016 (Unaudited)]),0)</f>
        <v>0</v>
      </c>
      <c r="O129" s="243">
        <f>ROUND(SUMIF(PhasesTable[CIP '#],ProjectsTable[[#This Row],[CIP '#]],PhasesTable[Projected Expenditures FY 2017]),0)</f>
        <v>0</v>
      </c>
      <c r="P129" s="244">
        <f>ROUND(SUMIF(PhasesTable[CIP '#],ProjectsTable[[#This Row],[CIP '#]],PhasesTable[Projected Expenditures FY 2018]),0)</f>
        <v>380</v>
      </c>
      <c r="Q129" s="245">
        <f>ROUND(SUMIF(PhasesTable[CIP '#],ProjectsTable[[#This Row],[CIP '#]],PhasesTable[Projected Expenditures FY 2019]),0)</f>
        <v>2909</v>
      </c>
      <c r="R129" s="245">
        <f>ROUND(SUMIF(PhasesTable[CIP '#],ProjectsTable[[#This Row],[CIP '#]],PhasesTable[Projected Expenditures FY 2020]),0)</f>
        <v>0</v>
      </c>
      <c r="S129" s="245">
        <f>ROUND(SUMIF(PhasesTable[CIP '#],ProjectsTable[[#This Row],[CIP '#]],PhasesTable[Projected Expenditures FY 2021]),0)</f>
        <v>0</v>
      </c>
      <c r="T129" s="246">
        <f>ROUND(SUMIF(PhasesTable[CIP '#],ProjectsTable[[#This Row],[CIP '#]],PhasesTable[Projected Expenditures FY 2022]),0)</f>
        <v>0</v>
      </c>
      <c r="U129" s="243">
        <f>ROUND(SUMIF(PhasesTable[CIP '#],ProjectsTable[[#This Row],[CIP '#]],PhasesTable[Projected Expenditures FY 2023 &amp; Beyond]),0)</f>
        <v>0</v>
      </c>
      <c r="V129" s="245">
        <f>ROUND(SUMIF(PhasesTable[CIP '#],ProjectsTable[[#This Row],[CIP '#]],PhasesTable[2018-2022 CIP Total]),0)</f>
        <v>3289</v>
      </c>
      <c r="W129" s="247">
        <f>ROUND(SUMIF(PhasesTable[CIP '#],ProjectsTable[[#This Row],[CIP '#]],PhasesTable[Project Total]),0)</f>
        <v>3289</v>
      </c>
      <c r="X129" s="207"/>
    </row>
    <row r="130" spans="1:24" s="209" customFormat="1" ht="28.5" x14ac:dyDescent="0.45">
      <c r="A130" s="76">
        <v>138</v>
      </c>
      <c r="B130" s="76">
        <v>1409</v>
      </c>
      <c r="C130" s="186" t="s">
        <v>329</v>
      </c>
      <c r="D130" s="24" t="s">
        <v>23</v>
      </c>
      <c r="E130" s="187">
        <v>2017</v>
      </c>
      <c r="F130" s="187">
        <v>222</v>
      </c>
      <c r="G130" s="187">
        <v>222006</v>
      </c>
      <c r="H130" s="187" t="s">
        <v>119</v>
      </c>
      <c r="I130" s="187" t="s">
        <v>119</v>
      </c>
      <c r="J130" s="187" t="s">
        <v>74</v>
      </c>
      <c r="K130" s="187" t="s">
        <v>158</v>
      </c>
      <c r="L130" s="168">
        <v>69.8</v>
      </c>
      <c r="M130" s="188" t="s">
        <v>27</v>
      </c>
      <c r="N130" s="117">
        <f>ROUND(SUMIF(PhasesTable[CIP '#],ProjectsTable[[#This Row],[CIP '#]],PhasesTable[Lifetime Actual Thru FY 2016 (Unaudited)]),0)</f>
        <v>0</v>
      </c>
      <c r="O130" s="117">
        <f>ROUND(SUMIF(PhasesTable[CIP '#],ProjectsTable[[#This Row],[CIP '#]],PhasesTable[Projected Expenditures FY 2017]),0)</f>
        <v>0</v>
      </c>
      <c r="P130" s="118">
        <f>ROUND(SUMIF(PhasesTable[CIP '#],ProjectsTable[[#This Row],[CIP '#]],PhasesTable[Projected Expenditures FY 2018]),0)</f>
        <v>6000</v>
      </c>
      <c r="Q130" s="119">
        <f>ROUND(SUMIF(PhasesTable[CIP '#],ProjectsTable[[#This Row],[CIP '#]],PhasesTable[Projected Expenditures FY 2019]),0)</f>
        <v>6000</v>
      </c>
      <c r="R130" s="119">
        <f>ROUND(SUMIF(PhasesTable[CIP '#],ProjectsTable[[#This Row],[CIP '#]],PhasesTable[Projected Expenditures FY 2020]),0)</f>
        <v>6000</v>
      </c>
      <c r="S130" s="119">
        <f>ROUND(SUMIF(PhasesTable[CIP '#],ProjectsTable[[#This Row],[CIP '#]],PhasesTable[Projected Expenditures FY 2021]),0)</f>
        <v>6000</v>
      </c>
      <c r="T130" s="120">
        <f>ROUND(SUMIF(PhasesTable[CIP '#],ProjectsTable[[#This Row],[CIP '#]],PhasesTable[Projected Expenditures FY 2022]),0)</f>
        <v>6000</v>
      </c>
      <c r="U130" s="117">
        <f>ROUND(SUMIF(PhasesTable[CIP '#],ProjectsTable[[#This Row],[CIP '#]],PhasesTable[Projected Expenditures FY 2023 &amp; Beyond]),0)</f>
        <v>6000</v>
      </c>
      <c r="V130" s="121">
        <f>ROUND(SUMIF(PhasesTable[CIP '#],ProjectsTable[[#This Row],[CIP '#]],PhasesTable[2018-2022 CIP Total]),0)</f>
        <v>30000</v>
      </c>
      <c r="W130" s="144">
        <f>ROUND(SUMIF(PhasesTable[CIP '#],ProjectsTable[[#This Row],[CIP '#]],PhasesTable[Project Total]),0)</f>
        <v>36000</v>
      </c>
      <c r="X130" s="169" t="s">
        <v>85</v>
      </c>
    </row>
    <row r="131" spans="1:24" s="210" customFormat="1" ht="42.75" x14ac:dyDescent="0.45">
      <c r="A131" s="201">
        <v>139</v>
      </c>
      <c r="B131" s="201">
        <v>1410</v>
      </c>
      <c r="C131" s="202" t="s">
        <v>330</v>
      </c>
      <c r="D131" s="203" t="s">
        <v>23</v>
      </c>
      <c r="E131" s="204">
        <v>2017</v>
      </c>
      <c r="F131" s="204">
        <v>115</v>
      </c>
      <c r="G131" s="204">
        <v>115004</v>
      </c>
      <c r="H131" s="205" t="s">
        <v>24</v>
      </c>
      <c r="I131" s="203" t="s">
        <v>24</v>
      </c>
      <c r="J131" s="203" t="s">
        <v>25</v>
      </c>
      <c r="K131" s="203" t="s">
        <v>63</v>
      </c>
      <c r="L131" s="206">
        <v>85.8</v>
      </c>
      <c r="M131" s="206" t="s">
        <v>27</v>
      </c>
      <c r="N131" s="243">
        <f>ROUND(SUMIF(PhasesTable[CIP '#],ProjectsTable[[#This Row],[CIP '#]],PhasesTable[Lifetime Actual Thru FY 2016 (Unaudited)]),0)</f>
        <v>0</v>
      </c>
      <c r="O131" s="243">
        <f>ROUND(SUMIF(PhasesTable[CIP '#],ProjectsTable[[#This Row],[CIP '#]],PhasesTable[Projected Expenditures FY 2017]),0)</f>
        <v>290</v>
      </c>
      <c r="P131" s="244">
        <f>ROUND(SUMIF(PhasesTable[CIP '#],ProjectsTable[[#This Row],[CIP '#]],PhasesTable[Projected Expenditures FY 2018]),0)</f>
        <v>700</v>
      </c>
      <c r="Q131" s="245">
        <f>ROUND(SUMIF(PhasesTable[CIP '#],ProjectsTable[[#This Row],[CIP '#]],PhasesTable[Projected Expenditures FY 2019]),0)</f>
        <v>8700</v>
      </c>
      <c r="R131" s="245">
        <f>ROUND(SUMIF(PhasesTable[CIP '#],ProjectsTable[[#This Row],[CIP '#]],PhasesTable[Projected Expenditures FY 2020]),0)</f>
        <v>0</v>
      </c>
      <c r="S131" s="245">
        <f>ROUND(SUMIF(PhasesTable[CIP '#],ProjectsTable[[#This Row],[CIP '#]],PhasesTable[Projected Expenditures FY 2021]),0)</f>
        <v>0</v>
      </c>
      <c r="T131" s="246">
        <f>ROUND(SUMIF(PhasesTable[CIP '#],ProjectsTable[[#This Row],[CIP '#]],PhasesTable[Projected Expenditures FY 2022]),0)</f>
        <v>0</v>
      </c>
      <c r="U131" s="243">
        <f>ROUND(SUMIF(PhasesTable[CIP '#],ProjectsTable[[#This Row],[CIP '#]],PhasesTable[Projected Expenditures FY 2023 &amp; Beyond]),0)</f>
        <v>0</v>
      </c>
      <c r="V131" s="245">
        <f>ROUND(SUMIF(PhasesTable[CIP '#],ProjectsTable[[#This Row],[CIP '#]],PhasesTable[2018-2022 CIP Total]),0)</f>
        <v>9400</v>
      </c>
      <c r="W131" s="247">
        <f>ROUND(SUMIF(PhasesTable[CIP '#],ProjectsTable[[#This Row],[CIP '#]],PhasesTable[Project Total]),0)</f>
        <v>9690</v>
      </c>
      <c r="X131" s="207"/>
    </row>
    <row r="132" spans="1:24" s="210" customFormat="1" ht="28.5" x14ac:dyDescent="0.45">
      <c r="A132" s="185">
        <v>140</v>
      </c>
      <c r="B132" s="185">
        <v>1411</v>
      </c>
      <c r="C132" s="186" t="s">
        <v>331</v>
      </c>
      <c r="D132" s="24" t="s">
        <v>23</v>
      </c>
      <c r="E132" s="187">
        <v>2017</v>
      </c>
      <c r="F132" s="187">
        <v>222</v>
      </c>
      <c r="G132" s="187">
        <v>222007</v>
      </c>
      <c r="H132" s="187" t="s">
        <v>119</v>
      </c>
      <c r="I132" s="187" t="s">
        <v>119</v>
      </c>
      <c r="J132" s="187" t="s">
        <v>74</v>
      </c>
      <c r="K132" s="187" t="s">
        <v>158</v>
      </c>
      <c r="L132" s="168">
        <v>69.8</v>
      </c>
      <c r="M132" s="188" t="s">
        <v>27</v>
      </c>
      <c r="N132" s="117">
        <f>ROUND(SUMIF(PhasesTable[CIP '#],ProjectsTable[[#This Row],[CIP '#]],PhasesTable[Lifetime Actual Thru FY 2016 (Unaudited)]),0)</f>
        <v>0</v>
      </c>
      <c r="O132" s="117">
        <f>ROUND(SUMIF(PhasesTable[CIP '#],ProjectsTable[[#This Row],[CIP '#]],PhasesTable[Projected Expenditures FY 2017]),0)</f>
        <v>0</v>
      </c>
      <c r="P132" s="118">
        <f>ROUND(SUMIF(PhasesTable[CIP '#],ProjectsTable[[#This Row],[CIP '#]],PhasesTable[Projected Expenditures FY 2018]),0)</f>
        <v>7000</v>
      </c>
      <c r="Q132" s="119">
        <f>ROUND(SUMIF(PhasesTable[CIP '#],ProjectsTable[[#This Row],[CIP '#]],PhasesTable[Projected Expenditures FY 2019]),0)</f>
        <v>7000</v>
      </c>
      <c r="R132" s="119">
        <f>ROUND(SUMIF(PhasesTable[CIP '#],ProjectsTable[[#This Row],[CIP '#]],PhasesTable[Projected Expenditures FY 2020]),0)</f>
        <v>7000</v>
      </c>
      <c r="S132" s="119">
        <f>ROUND(SUMIF(PhasesTable[CIP '#],ProjectsTable[[#This Row],[CIP '#]],PhasesTable[Projected Expenditures FY 2021]),0)</f>
        <v>0</v>
      </c>
      <c r="T132" s="120">
        <f>ROUND(SUMIF(PhasesTable[CIP '#],ProjectsTable[[#This Row],[CIP '#]],PhasesTable[Projected Expenditures FY 2022]),0)</f>
        <v>0</v>
      </c>
      <c r="U132" s="117">
        <f>ROUND(SUMIF(PhasesTable[CIP '#],ProjectsTable[[#This Row],[CIP '#]],PhasesTable[Projected Expenditures FY 2023 &amp; Beyond]),0)</f>
        <v>0</v>
      </c>
      <c r="V132" s="121">
        <f>ROUND(SUMIF(PhasesTable[CIP '#],ProjectsTable[[#This Row],[CIP '#]],PhasesTable[2018-2022 CIP Total]),0)</f>
        <v>21000</v>
      </c>
      <c r="W132" s="144">
        <f>ROUND(SUMIF(PhasesTable[CIP '#],ProjectsTable[[#This Row],[CIP '#]],PhasesTable[Project Total]),0)</f>
        <v>21000</v>
      </c>
      <c r="X132" s="169" t="s">
        <v>85</v>
      </c>
    </row>
    <row r="133" spans="1:24" s="19" customFormat="1" ht="42.75" x14ac:dyDescent="0.45">
      <c r="A133" s="201">
        <v>141</v>
      </c>
      <c r="B133" s="201">
        <v>1412</v>
      </c>
      <c r="C133" s="202" t="s">
        <v>332</v>
      </c>
      <c r="D133" s="203" t="s">
        <v>23</v>
      </c>
      <c r="E133" s="204">
        <v>2017</v>
      </c>
      <c r="F133" s="204">
        <v>114</v>
      </c>
      <c r="G133" s="204">
        <v>114015</v>
      </c>
      <c r="H133" s="205" t="s">
        <v>24</v>
      </c>
      <c r="I133" s="203" t="s">
        <v>24</v>
      </c>
      <c r="J133" s="203" t="s">
        <v>25</v>
      </c>
      <c r="K133" s="203" t="s">
        <v>46</v>
      </c>
      <c r="L133" s="206">
        <v>100</v>
      </c>
      <c r="M133" s="206" t="s">
        <v>27</v>
      </c>
      <c r="N133" s="243">
        <f>ROUND(SUMIF(PhasesTable[CIP '#],ProjectsTable[[#This Row],[CIP '#]],PhasesTable[Lifetime Actual Thru FY 2016 (Unaudited)]),0)</f>
        <v>0</v>
      </c>
      <c r="O133" s="243">
        <f>ROUND(SUMIF(PhasesTable[CIP '#],ProjectsTable[[#This Row],[CIP '#]],PhasesTable[Projected Expenditures FY 2017]),0)</f>
        <v>500</v>
      </c>
      <c r="P133" s="244">
        <f>ROUND(SUMIF(PhasesTable[CIP '#],ProjectsTable[[#This Row],[CIP '#]],PhasesTable[Projected Expenditures FY 2018]),0)</f>
        <v>2000</v>
      </c>
      <c r="Q133" s="245">
        <f>ROUND(SUMIF(PhasesTable[CIP '#],ProjectsTable[[#This Row],[CIP '#]],PhasesTable[Projected Expenditures FY 2019]),0)</f>
        <v>0</v>
      </c>
      <c r="R133" s="245">
        <f>ROUND(SUMIF(PhasesTable[CIP '#],ProjectsTable[[#This Row],[CIP '#]],PhasesTable[Projected Expenditures FY 2020]),0)</f>
        <v>0</v>
      </c>
      <c r="S133" s="245">
        <f>ROUND(SUMIF(PhasesTable[CIP '#],ProjectsTable[[#This Row],[CIP '#]],PhasesTable[Projected Expenditures FY 2021]),0)</f>
        <v>0</v>
      </c>
      <c r="T133" s="246">
        <f>ROUND(SUMIF(PhasesTable[CIP '#],ProjectsTable[[#This Row],[CIP '#]],PhasesTable[Projected Expenditures FY 2022]),0)</f>
        <v>0</v>
      </c>
      <c r="U133" s="243">
        <f>ROUND(SUMIF(PhasesTable[CIP '#],ProjectsTable[[#This Row],[CIP '#]],PhasesTable[Projected Expenditures FY 2023 &amp; Beyond]),0)</f>
        <v>0</v>
      </c>
      <c r="V133" s="245">
        <f>ROUND(SUMIF(PhasesTable[CIP '#],ProjectsTable[[#This Row],[CIP '#]],PhasesTable[2018-2022 CIP Total]),0)</f>
        <v>2000</v>
      </c>
      <c r="W133" s="247">
        <f>ROUND(SUMIF(PhasesTable[CIP '#],ProjectsTable[[#This Row],[CIP '#]],PhasesTable[Project Total]),0)</f>
        <v>2500</v>
      </c>
      <c r="X133" s="207"/>
    </row>
    <row r="134" spans="1:24" s="210" customFormat="1" ht="28.5" x14ac:dyDescent="0.45">
      <c r="A134" s="158">
        <v>37</v>
      </c>
      <c r="B134" s="159" t="s">
        <v>94</v>
      </c>
      <c r="C134" s="160" t="s">
        <v>95</v>
      </c>
      <c r="D134" s="161" t="s">
        <v>23</v>
      </c>
      <c r="E134" s="162">
        <v>2015</v>
      </c>
      <c r="F134" s="162">
        <v>122</v>
      </c>
      <c r="G134" s="162">
        <v>122014</v>
      </c>
      <c r="H134" s="162" t="s">
        <v>24</v>
      </c>
      <c r="I134" s="162" t="s">
        <v>24</v>
      </c>
      <c r="J134" s="161" t="s">
        <v>74</v>
      </c>
      <c r="K134" s="161" t="s">
        <v>75</v>
      </c>
      <c r="L134" s="161" t="s">
        <v>27</v>
      </c>
      <c r="M134" s="163" t="s">
        <v>27</v>
      </c>
      <c r="N134" s="226">
        <f>ROUND(SUMIF(PhasesTable[CIP '#],ProjectsTable[[#This Row],[CIP '#]],PhasesTable[Lifetime Actual Thru FY 2016 (Unaudited)]),0)</f>
        <v>1021</v>
      </c>
      <c r="O134" s="227">
        <f>ROUND(SUMIF(PhasesTable[CIP '#],ProjectsTable[[#This Row],[CIP '#]],PhasesTable[Projected Expenditures FY 2017]),0)</f>
        <v>3514</v>
      </c>
      <c r="P134" s="228">
        <f>ROUND(SUMIF(PhasesTable[CIP '#],ProjectsTable[[#This Row],[CIP '#]],PhasesTable[Projected Expenditures FY 2018]),0)</f>
        <v>0</v>
      </c>
      <c r="Q134" s="229">
        <f>ROUND(SUMIF(PhasesTable[CIP '#],ProjectsTable[[#This Row],[CIP '#]],PhasesTable[Projected Expenditures FY 2019]),0)</f>
        <v>0</v>
      </c>
      <c r="R134" s="229">
        <f>ROUND(SUMIF(PhasesTable[CIP '#],ProjectsTable[[#This Row],[CIP '#]],PhasesTable[Projected Expenditures FY 2020]),0)</f>
        <v>0</v>
      </c>
      <c r="S134" s="229">
        <f>ROUND(SUMIF(PhasesTable[CIP '#],ProjectsTable[[#This Row],[CIP '#]],PhasesTable[Projected Expenditures FY 2021]),0)</f>
        <v>0</v>
      </c>
      <c r="T134" s="230">
        <f>ROUND(SUMIF(PhasesTable[CIP '#],ProjectsTable[[#This Row],[CIP '#]],PhasesTable[Projected Expenditures FY 2022]),0)</f>
        <v>0</v>
      </c>
      <c r="U134" s="227">
        <f>ROUND(SUMIF(PhasesTable[CIP '#],ProjectsTable[[#This Row],[CIP '#]],PhasesTable[Projected Expenditures FY 2023 &amp; Beyond]),0)</f>
        <v>0</v>
      </c>
      <c r="V134" s="231">
        <f>ROUND(SUMIF(PhasesTable[CIP '#],ProjectsTable[[#This Row],[CIP '#]],PhasesTable[2018-2022 CIP Total]),0)</f>
        <v>0</v>
      </c>
      <c r="W134" s="232">
        <f>ROUND(SUMIF(PhasesTable[CIP '#],ProjectsTable[[#This Row],[CIP '#]],PhasesTable[Project Total]),0)</f>
        <v>4535</v>
      </c>
      <c r="X134" s="164" t="s">
        <v>76</v>
      </c>
    </row>
    <row r="135" spans="1:24" s="19" customFormat="1" ht="28.5" x14ac:dyDescent="0.45">
      <c r="A135" s="158">
        <v>38</v>
      </c>
      <c r="B135" s="159" t="s">
        <v>277</v>
      </c>
      <c r="C135" s="160" t="s">
        <v>334</v>
      </c>
      <c r="D135" s="161" t="s">
        <v>23</v>
      </c>
      <c r="E135" s="196">
        <v>2017</v>
      </c>
      <c r="F135" s="196">
        <v>122</v>
      </c>
      <c r="G135" s="196">
        <v>122015</v>
      </c>
      <c r="H135" s="196" t="s">
        <v>24</v>
      </c>
      <c r="I135" s="162" t="s">
        <v>24</v>
      </c>
      <c r="J135" s="161" t="s">
        <v>74</v>
      </c>
      <c r="K135" s="161" t="s">
        <v>75</v>
      </c>
      <c r="L135" s="199" t="s">
        <v>27</v>
      </c>
      <c r="M135" s="163" t="s">
        <v>27</v>
      </c>
      <c r="N135" s="241">
        <f>ROUND(SUMIF(PhasesTable[CIP '#],ProjectsTable[[#This Row],[CIP '#]],PhasesTable[Lifetime Actual Thru FY 2016 (Unaudited)]),0)</f>
        <v>0</v>
      </c>
      <c r="O135" s="227">
        <f>ROUND(SUMIF(PhasesTable[CIP '#],ProjectsTable[[#This Row],[CIP '#]],PhasesTable[Projected Expenditures FY 2017]),0)</f>
        <v>2327</v>
      </c>
      <c r="P135" s="228">
        <f>ROUND(SUMIF(PhasesTable[CIP '#],ProjectsTable[[#This Row],[CIP '#]],PhasesTable[Projected Expenditures FY 2018]),0)</f>
        <v>0</v>
      </c>
      <c r="Q135" s="229">
        <f>ROUND(SUMIF(PhasesTable[CIP '#],ProjectsTable[[#This Row],[CIP '#]],PhasesTable[Projected Expenditures FY 2019]),0)</f>
        <v>0</v>
      </c>
      <c r="R135" s="229">
        <f>ROUND(SUMIF(PhasesTable[CIP '#],ProjectsTable[[#This Row],[CIP '#]],PhasesTable[Projected Expenditures FY 2020]),0)</f>
        <v>0</v>
      </c>
      <c r="S135" s="229">
        <f>ROUND(SUMIF(PhasesTable[CIP '#],ProjectsTable[[#This Row],[CIP '#]],PhasesTable[Projected Expenditures FY 2021]),0)</f>
        <v>0</v>
      </c>
      <c r="T135" s="230">
        <f>ROUND(SUMIF(PhasesTable[CIP '#],ProjectsTable[[#This Row],[CIP '#]],PhasesTable[Projected Expenditures FY 2022]),0)</f>
        <v>0</v>
      </c>
      <c r="U135" s="227">
        <f>ROUND(SUMIF(PhasesTable[CIP '#],ProjectsTable[[#This Row],[CIP '#]],PhasesTable[Projected Expenditures FY 2023 &amp; Beyond]),0)</f>
        <v>0</v>
      </c>
      <c r="V135" s="231">
        <f>ROUND(SUMIF(PhasesTable[CIP '#],ProjectsTable[[#This Row],[CIP '#]],PhasesTable[2018-2022 CIP Total]),0)</f>
        <v>0</v>
      </c>
      <c r="W135" s="232">
        <f>ROUND(SUMIF(PhasesTable[CIP '#],ProjectsTable[[#This Row],[CIP '#]],PhasesTable[Project Total]),0)</f>
        <v>2327</v>
      </c>
      <c r="X135" s="164" t="s">
        <v>76</v>
      </c>
    </row>
    <row r="136" spans="1:24" s="218" customFormat="1" x14ac:dyDescent="0.45">
      <c r="A136" s="211" t="s">
        <v>285</v>
      </c>
      <c r="B136" s="211">
        <f>SUBTOTAL(103,ProjectsTable[CIP '#])</f>
        <v>134</v>
      </c>
      <c r="C136" s="212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213">
        <f>SUBTOTAL(109,ProjectsTable[Lifetime Actual Thru FY 2016 (Unaudited)])</f>
        <v>469416</v>
      </c>
      <c r="O136" s="214">
        <f>SUBTOTAL(109,ProjectsTable[Projected Expenditures FY 2017])</f>
        <v>139470</v>
      </c>
      <c r="P136" s="215">
        <f>SUBTOTAL(109,ProjectsTable[Projected Expenditures FY 2018])</f>
        <v>298401</v>
      </c>
      <c r="Q136" s="216">
        <f>SUBTOTAL(109,ProjectsTable[Projected Expenditures FY 2019])</f>
        <v>391582</v>
      </c>
      <c r="R136" s="216">
        <f>SUBTOTAL(109,ProjectsTable[Projected Expenditures FY 2020])</f>
        <v>387053</v>
      </c>
      <c r="S136" s="216">
        <f>SUBTOTAL(109,ProjectsTable[Projected Expenditures FY 2021])</f>
        <v>256747</v>
      </c>
      <c r="T136" s="217">
        <f>SUBTOTAL(109,ProjectsTable[Projected Expenditures FY 2022])</f>
        <v>219550</v>
      </c>
      <c r="U136" s="214">
        <f>SUBTOTAL(109,ProjectsTable[Projected Expenditures FY 2023 &amp; Beyond])</f>
        <v>122379</v>
      </c>
      <c r="V136" s="216">
        <f>SUBTOTAL(109,ProjectsTable[2018-2022 CIP Total])</f>
        <v>1553333</v>
      </c>
      <c r="W136" s="100">
        <f>SUBTOTAL(109,ProjectsTable[Project Total])</f>
        <v>2284598</v>
      </c>
      <c r="X136" s="98"/>
    </row>
  </sheetData>
  <sheetProtection algorithmName="SHA-512" hashValue="AN+OPOWFdSacYq/Vgu9gqr2b/HMaV/P7k+i98Wp9tZTJ1pmRqHiLWVk7/gh0UDCVsPf9lqSut6qUaYKDQ4xH9A==" saltValue="A5+fciHmt294LlVETJ/Q6w==" spinCount="100000" sheet="1" objects="1" scenarios="1" formatCells="0" formatColumns="0" formatRows="0" selectLockedCells="1" sort="0" autoFilter="0"/>
  <protectedRanges>
    <protectedRange sqref="N2:W135" name="Range1"/>
  </protectedRanges>
  <conditionalFormatting sqref="B133">
    <cfRule type="duplicateValues" dxfId="115" priority="7"/>
  </conditionalFormatting>
  <conditionalFormatting sqref="B135">
    <cfRule type="duplicateValues" dxfId="114" priority="5"/>
  </conditionalFormatting>
  <conditionalFormatting sqref="B134 B2:B18 B20:B132">
    <cfRule type="duplicateValues" dxfId="113" priority="14"/>
  </conditionalFormatting>
  <conditionalFormatting sqref="A133">
    <cfRule type="duplicateValues" dxfId="112" priority="2"/>
  </conditionalFormatting>
  <conditionalFormatting sqref="A129:A132">
    <cfRule type="duplicateValues" dxfId="111" priority="19"/>
  </conditionalFormatting>
  <conditionalFormatting sqref="B19">
    <cfRule type="duplicateValues" dxfId="110" priority="1"/>
  </conditionalFormatting>
  <dataValidations count="1">
    <dataValidation type="list" allowBlank="1" showInputMessage="1" showErrorMessage="1" sqref="C6:C7 C2:C4 C9:C20">
      <formula1>Status</formula1>
    </dataValidation>
  </dataValidations>
  <pageMargins left="0.2" right="0.2" top="0.25" bottom="0.25" header="0.3" footer="0.3"/>
  <pageSetup paperSize="5" scale="5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B241"/>
  <sheetViews>
    <sheetView topLeftCell="B1" zoomScale="85" zoomScaleNormal="85" zoomScalePageLayoutView="125" workbookViewId="0">
      <pane xSplit="2" ySplit="1" topLeftCell="K2" activePane="bottomRight" state="frozen"/>
      <selection activeCell="B1" sqref="B1"/>
      <selection pane="topRight" activeCell="D1" sqref="D1"/>
      <selection pane="bottomLeft" activeCell="B2" sqref="B2"/>
      <selection pane="bottomRight" activeCell="M8" sqref="M8"/>
    </sheetView>
  </sheetViews>
  <sheetFormatPr defaultColWidth="8.73046875" defaultRowHeight="14.25" x14ac:dyDescent="0.45"/>
  <cols>
    <col min="1" max="1" width="8.73046875" style="103" hidden="1" customWidth="1"/>
    <col min="2" max="2" width="9" style="103" customWidth="1"/>
    <col min="3" max="3" width="42.73046875" style="103" customWidth="1"/>
    <col min="4" max="4" width="8.73046875" style="109"/>
    <col min="5" max="5" width="14" style="103" customWidth="1"/>
    <col min="6" max="6" width="11.1328125" style="103" customWidth="1"/>
    <col min="7" max="7" width="12.3984375" style="103" customWidth="1"/>
    <col min="8" max="8" width="12.73046875" style="103" customWidth="1"/>
    <col min="9" max="9" width="13.3984375" style="103" customWidth="1"/>
    <col min="10" max="10" width="12.1328125" style="103" customWidth="1"/>
    <col min="11" max="11" width="11.1328125" style="103" customWidth="1"/>
    <col min="12" max="12" width="10.73046875" style="103" customWidth="1"/>
    <col min="13" max="13" width="8.73046875" style="103" customWidth="1"/>
    <col min="14" max="14" width="11.3984375" style="103" customWidth="1"/>
    <col min="15" max="15" width="12.1328125" style="103" customWidth="1"/>
    <col min="16" max="17" width="9" style="103" customWidth="1"/>
    <col min="18" max="18" width="11.73046875" style="103" customWidth="1"/>
    <col min="19" max="22" width="9" style="103" customWidth="1"/>
    <col min="23" max="23" width="10.73046875" style="103" customWidth="1"/>
    <col min="24" max="24" width="9.1328125" style="103" customWidth="1"/>
    <col min="25" max="25" width="7.796875" style="103" customWidth="1"/>
    <col min="26" max="26" width="8" style="106" customWidth="1"/>
    <col min="27" max="27" width="8.33203125" style="107" customWidth="1"/>
    <col min="28" max="28" width="12.3984375" style="108" customWidth="1"/>
    <col min="29" max="16384" width="8.73046875" style="104"/>
  </cols>
  <sheetData>
    <row r="1" spans="1:28" s="8" customFormat="1" ht="67.150000000000006" customHeight="1" x14ac:dyDescent="0.45">
      <c r="A1" s="1" t="s">
        <v>194</v>
      </c>
      <c r="B1" s="1" t="s">
        <v>1</v>
      </c>
      <c r="C1" s="1" t="s">
        <v>2</v>
      </c>
      <c r="D1" s="1" t="s">
        <v>276</v>
      </c>
      <c r="E1" s="1" t="s">
        <v>279</v>
      </c>
      <c r="F1" s="1" t="s">
        <v>195</v>
      </c>
      <c r="G1" s="1" t="s">
        <v>4</v>
      </c>
      <c r="H1" s="1" t="s">
        <v>5</v>
      </c>
      <c r="I1" s="1" t="s">
        <v>6</v>
      </c>
      <c r="J1" s="1" t="s">
        <v>196</v>
      </c>
      <c r="K1" s="1" t="s">
        <v>197</v>
      </c>
      <c r="L1" s="1" t="s">
        <v>198</v>
      </c>
      <c r="M1" s="1" t="s">
        <v>7</v>
      </c>
      <c r="N1" s="1" t="s">
        <v>8</v>
      </c>
      <c r="O1" s="2" t="s">
        <v>11</v>
      </c>
      <c r="P1" s="2" t="s">
        <v>12</v>
      </c>
      <c r="Q1" s="3" t="s">
        <v>13</v>
      </c>
      <c r="R1" s="4" t="s">
        <v>14</v>
      </c>
      <c r="S1" s="4" t="s">
        <v>15</v>
      </c>
      <c r="T1" s="4" t="s">
        <v>16</v>
      </c>
      <c r="U1" s="5" t="s">
        <v>17</v>
      </c>
      <c r="V1" s="2" t="s">
        <v>18</v>
      </c>
      <c r="W1" s="4" t="s">
        <v>19</v>
      </c>
      <c r="X1" s="4" t="s">
        <v>20</v>
      </c>
      <c r="Y1" s="4" t="s">
        <v>341</v>
      </c>
      <c r="Z1" s="6" t="s">
        <v>343</v>
      </c>
      <c r="AA1" s="7" t="s">
        <v>340</v>
      </c>
    </row>
    <row r="2" spans="1:28" s="19" customFormat="1" ht="30" customHeight="1" x14ac:dyDescent="0.45">
      <c r="A2" s="9">
        <v>12</v>
      </c>
      <c r="B2" s="10">
        <v>262</v>
      </c>
      <c r="C2" s="11" t="s">
        <v>282</v>
      </c>
      <c r="D2" s="9">
        <f>VLOOKUP(PhasesTable[[#This Row],[CIP '#]],ProjectsTable[[CIP '#]:[Project Classification 3]],5,FALSE)</f>
        <v>113</v>
      </c>
      <c r="E2" s="9">
        <f>VLOOKUP(PhasesTable[[#This Row],[CIP '#]],ProjectsTable[[CIP '#]:[Project Classification 3]],6,FALSE)</f>
        <v>113001</v>
      </c>
      <c r="F2" s="12" t="s">
        <v>24</v>
      </c>
      <c r="G2" s="13" t="str">
        <f>VLOOKUP(PhasesTable[[#This Row],[CIP '#]],ProjectsTable[[CIP '#]:[Project Classification 3]],8,FALSE)</f>
        <v>Water</v>
      </c>
      <c r="H2" s="12" t="str">
        <f>VLOOKUP(PhasesTable[[#This Row],[CIP '#]],ProjectsTable[[CIP '#]:[Project Classification 3]],9,FALSE)</f>
        <v>Treatment Plants &amp; Facilities</v>
      </c>
      <c r="I2" s="12" t="str">
        <f>VLOOKUP(PhasesTable[[#This Row],[CIP '#]],ProjectsTable[[CIP '#]:[Project Classification 3]],10,FALSE)</f>
        <v>Southwest</v>
      </c>
      <c r="J2" s="13" t="s">
        <v>201</v>
      </c>
      <c r="K2" s="12" t="s">
        <v>210</v>
      </c>
      <c r="L2" s="13" t="s">
        <v>211</v>
      </c>
      <c r="M2" s="14">
        <v>40310</v>
      </c>
      <c r="N2" s="14">
        <v>42554</v>
      </c>
      <c r="O2" s="110">
        <v>47587.161840000001</v>
      </c>
      <c r="P2" s="111">
        <v>0</v>
      </c>
      <c r="Q2" s="112">
        <v>1793</v>
      </c>
      <c r="R2" s="113">
        <v>0</v>
      </c>
      <c r="S2" s="113">
        <v>0</v>
      </c>
      <c r="T2" s="113">
        <v>0</v>
      </c>
      <c r="U2" s="114">
        <v>0</v>
      </c>
      <c r="V2" s="111">
        <v>0</v>
      </c>
      <c r="W2" s="115">
        <f>SUM(Q2:U2)</f>
        <v>1793</v>
      </c>
      <c r="X2" s="116">
        <f>SUM(O2:V2)</f>
        <v>49380.161840000001</v>
      </c>
      <c r="Y2" s="15" t="s">
        <v>338</v>
      </c>
      <c r="Z2" s="16" t="s">
        <v>288</v>
      </c>
      <c r="AA2" s="17" t="s">
        <v>335</v>
      </c>
      <c r="AB2" s="18"/>
    </row>
    <row r="3" spans="1:28" s="18" customFormat="1" ht="30" customHeight="1" x14ac:dyDescent="0.45">
      <c r="A3" s="20">
        <v>93</v>
      </c>
      <c r="B3" s="21">
        <v>291</v>
      </c>
      <c r="C3" s="22" t="s">
        <v>118</v>
      </c>
      <c r="D3" s="20">
        <f>VLOOKUP(PhasesTable[[#This Row],[CIP '#]],ProjectsTable[[CIP '#]:[Project Classification 3]],5,FALSE)</f>
        <v>211</v>
      </c>
      <c r="E3" s="20">
        <f>VLOOKUP(PhasesTable[[#This Row],[CIP '#]],ProjectsTable[[CIP '#]:[Project Classification 3]],6,FALSE)</f>
        <v>211001</v>
      </c>
      <c r="F3" s="23" t="s">
        <v>119</v>
      </c>
      <c r="G3" s="23" t="str">
        <f>VLOOKUP(PhasesTable[[#This Row],[CIP '#]],ProjectsTable[[CIP '#]:[Project Classification 3]],8,FALSE)</f>
        <v>Wastewater</v>
      </c>
      <c r="H3" s="24" t="str">
        <f>VLOOKUP(PhasesTable[[#This Row],[CIP '#]],ProjectsTable[[CIP '#]:[Project Classification 3]],9,FALSE)</f>
        <v>WRRF</v>
      </c>
      <c r="I3" s="24" t="str">
        <f>VLOOKUP(PhasesTable[[#This Row],[CIP '#]],ProjectsTable[[CIP '#]:[Project Classification 3]],10,FALSE)</f>
        <v>Primary Treatment</v>
      </c>
      <c r="J3" s="23" t="s">
        <v>201</v>
      </c>
      <c r="K3" s="20" t="s">
        <v>250</v>
      </c>
      <c r="L3" s="23" t="s">
        <v>214</v>
      </c>
      <c r="M3" s="25" t="s">
        <v>30</v>
      </c>
      <c r="N3" s="25" t="s">
        <v>30</v>
      </c>
      <c r="O3" s="117">
        <v>0</v>
      </c>
      <c r="P3" s="117">
        <v>10848</v>
      </c>
      <c r="Q3" s="118">
        <v>12097</v>
      </c>
      <c r="R3" s="119">
        <v>20990</v>
      </c>
      <c r="S3" s="119">
        <v>7968</v>
      </c>
      <c r="T3" s="119">
        <v>0</v>
      </c>
      <c r="U3" s="120">
        <v>0</v>
      </c>
      <c r="V3" s="117">
        <v>0</v>
      </c>
      <c r="W3" s="121">
        <f>SUM(Q3:U3)</f>
        <v>41055</v>
      </c>
      <c r="X3" s="122">
        <f>SUM(O3:V3)</f>
        <v>51903</v>
      </c>
      <c r="Y3" s="26" t="s">
        <v>338</v>
      </c>
      <c r="Z3" s="27" t="s">
        <v>290</v>
      </c>
      <c r="AA3" s="28" t="s">
        <v>335</v>
      </c>
    </row>
    <row r="4" spans="1:28" s="18" customFormat="1" ht="30" customHeight="1" x14ac:dyDescent="0.45">
      <c r="A4" s="29">
        <v>133</v>
      </c>
      <c r="B4" s="30">
        <v>366</v>
      </c>
      <c r="C4" s="31" t="s">
        <v>300</v>
      </c>
      <c r="D4" s="29">
        <f>VLOOKUP(PhasesTable[[#This Row],[CIP '#]],ProjectsTable[[CIP '#]:[Project Classification 3]],5,FALSE)</f>
        <v>216</v>
      </c>
      <c r="E4" s="29">
        <f>VLOOKUP(PhasesTable[[#This Row],[CIP '#]],ProjectsTable[[CIP '#]:[Project Classification 3]],6,FALSE)</f>
        <v>216001</v>
      </c>
      <c r="F4" s="32" t="s">
        <v>119</v>
      </c>
      <c r="G4" s="23" t="str">
        <f>VLOOKUP(PhasesTable[[#This Row],[CIP '#]],ProjectsTable[[CIP '#]:[Project Classification 3]],8,FALSE)</f>
        <v>Wastewater</v>
      </c>
      <c r="H4" s="24" t="str">
        <f>VLOOKUP(PhasesTable[[#This Row],[CIP '#]],ProjectsTable[[CIP '#]:[Project Classification 3]],9,FALSE)</f>
        <v>WRRF</v>
      </c>
      <c r="I4" s="33" t="str">
        <f>VLOOKUP(PhasesTable[[#This Row],[CIP '#]],ProjectsTable[[CIP '#]:[Project Classification 3]],10,FALSE)</f>
        <v>General Purpose</v>
      </c>
      <c r="J4" s="32" t="s">
        <v>201</v>
      </c>
      <c r="K4" s="34" t="s">
        <v>268</v>
      </c>
      <c r="L4" s="32" t="s">
        <v>211</v>
      </c>
      <c r="M4" s="35">
        <v>41050</v>
      </c>
      <c r="N4" s="35">
        <v>42511</v>
      </c>
      <c r="O4" s="123">
        <v>23036.508879999998</v>
      </c>
      <c r="P4" s="123">
        <v>2500</v>
      </c>
      <c r="Q4" s="124">
        <v>1532</v>
      </c>
      <c r="R4" s="125">
        <v>0</v>
      </c>
      <c r="S4" s="125">
        <v>0</v>
      </c>
      <c r="T4" s="125">
        <v>0</v>
      </c>
      <c r="U4" s="126">
        <v>0</v>
      </c>
      <c r="V4" s="123">
        <v>0</v>
      </c>
      <c r="W4" s="127">
        <f>SUM(Q4:U4)</f>
        <v>1532</v>
      </c>
      <c r="X4" s="128">
        <f>SUM(O4:V4)</f>
        <v>27068.508879999998</v>
      </c>
      <c r="Y4" s="26" t="s">
        <v>338</v>
      </c>
      <c r="Z4" s="36" t="s">
        <v>286</v>
      </c>
      <c r="AA4" s="28" t="s">
        <v>335</v>
      </c>
    </row>
    <row r="5" spans="1:28" s="18" customFormat="1" ht="30" customHeight="1" x14ac:dyDescent="0.45">
      <c r="A5" s="29">
        <v>134</v>
      </c>
      <c r="B5" s="30">
        <v>366</v>
      </c>
      <c r="C5" s="31" t="s">
        <v>300</v>
      </c>
      <c r="D5" s="29">
        <f>VLOOKUP(PhasesTable[[#This Row],[CIP '#]],ProjectsTable[[CIP '#]:[Project Classification 3]],5,FALSE)</f>
        <v>216</v>
      </c>
      <c r="E5" s="29">
        <f>VLOOKUP(PhasesTable[[#This Row],[CIP '#]],ProjectsTable[[CIP '#]:[Project Classification 3]],6,FALSE)</f>
        <v>216001</v>
      </c>
      <c r="F5" s="32" t="s">
        <v>119</v>
      </c>
      <c r="G5" s="23" t="str">
        <f>VLOOKUP(PhasesTable[[#This Row],[CIP '#]],ProjectsTable[[CIP '#]:[Project Classification 3]],8,FALSE)</f>
        <v>Wastewater</v>
      </c>
      <c r="H5" s="24" t="str">
        <f>VLOOKUP(PhasesTable[[#This Row],[CIP '#]],ProjectsTable[[CIP '#]:[Project Classification 3]],9,FALSE)</f>
        <v>WRRF</v>
      </c>
      <c r="I5" s="33" t="str">
        <f>VLOOKUP(PhasesTable[[#This Row],[CIP '#]],ProjectsTable[[CIP '#]:[Project Classification 3]],10,FALSE)</f>
        <v>General Purpose</v>
      </c>
      <c r="J5" s="32" t="s">
        <v>215</v>
      </c>
      <c r="K5" s="34" t="s">
        <v>269</v>
      </c>
      <c r="L5" s="32" t="s">
        <v>211</v>
      </c>
      <c r="M5" s="35">
        <v>39611</v>
      </c>
      <c r="N5" s="35">
        <v>42532</v>
      </c>
      <c r="O5" s="123">
        <v>0</v>
      </c>
      <c r="P5" s="123">
        <v>75</v>
      </c>
      <c r="Q5" s="124">
        <v>0</v>
      </c>
      <c r="R5" s="125">
        <v>0</v>
      </c>
      <c r="S5" s="125">
        <v>0</v>
      </c>
      <c r="T5" s="125">
        <v>0</v>
      </c>
      <c r="U5" s="126">
        <v>0</v>
      </c>
      <c r="V5" s="123">
        <v>0</v>
      </c>
      <c r="W5" s="127">
        <f>SUM(Q5:U5)</f>
        <v>0</v>
      </c>
      <c r="X5" s="128">
        <f>SUM(O5:V5)</f>
        <v>75</v>
      </c>
      <c r="Y5" s="26" t="s">
        <v>338</v>
      </c>
      <c r="Z5" s="36" t="s">
        <v>286</v>
      </c>
      <c r="AA5" s="28" t="s">
        <v>335</v>
      </c>
    </row>
    <row r="6" spans="1:28" s="44" customFormat="1" ht="30" customHeight="1" x14ac:dyDescent="0.45">
      <c r="A6" s="37">
        <v>17</v>
      </c>
      <c r="B6" s="38">
        <v>917</v>
      </c>
      <c r="C6" s="39" t="s">
        <v>45</v>
      </c>
      <c r="D6" s="37">
        <f>VLOOKUP(PhasesTable[[#This Row],[CIP '#]],ProjectsTable[[CIP '#]:[Project Classification 3]],5,FALSE)</f>
        <v>114</v>
      </c>
      <c r="E6" s="37">
        <f>VLOOKUP(PhasesTable[[#This Row],[CIP '#]],ProjectsTable[[CIP '#]:[Project Classification 3]],6,FALSE)</f>
        <v>114001</v>
      </c>
      <c r="F6" s="40" t="s">
        <v>24</v>
      </c>
      <c r="G6" s="13" t="str">
        <f>VLOOKUP(PhasesTable[[#This Row],[CIP '#]],ProjectsTable[[CIP '#]:[Project Classification 3]],8,FALSE)</f>
        <v>Water</v>
      </c>
      <c r="H6" s="12" t="str">
        <f>VLOOKUP(PhasesTable[[#This Row],[CIP '#]],ProjectsTable[[CIP '#]:[Project Classification 3]],9,FALSE)</f>
        <v>Treatment Plants &amp; Facilities</v>
      </c>
      <c r="I6" s="41" t="str">
        <f>VLOOKUP(PhasesTable[[#This Row],[CIP '#]],ProjectsTable[[CIP '#]:[Project Classification 3]],10,FALSE)</f>
        <v>Springwells</v>
      </c>
      <c r="J6" s="41" t="s">
        <v>201</v>
      </c>
      <c r="K6" s="40" t="s">
        <v>213</v>
      </c>
      <c r="L6" s="41" t="s">
        <v>214</v>
      </c>
      <c r="M6" s="42">
        <v>41463</v>
      </c>
      <c r="N6" s="42">
        <v>43173</v>
      </c>
      <c r="O6" s="129">
        <v>56758.618780000004</v>
      </c>
      <c r="P6" s="130">
        <v>20000</v>
      </c>
      <c r="Q6" s="131">
        <v>215</v>
      </c>
      <c r="R6" s="132">
        <v>0</v>
      </c>
      <c r="S6" s="132">
        <v>0</v>
      </c>
      <c r="T6" s="132">
        <v>0</v>
      </c>
      <c r="U6" s="133">
        <v>0</v>
      </c>
      <c r="V6" s="130">
        <v>0</v>
      </c>
      <c r="W6" s="134">
        <f>SUM(Q6:U6)</f>
        <v>215</v>
      </c>
      <c r="X6" s="135">
        <f>SUM(O6:V6)</f>
        <v>76973.618780000004</v>
      </c>
      <c r="Y6" s="15" t="s">
        <v>338</v>
      </c>
      <c r="Z6" s="16" t="s">
        <v>286</v>
      </c>
      <c r="AA6" s="17" t="s">
        <v>335</v>
      </c>
      <c r="AB6" s="43"/>
    </row>
    <row r="7" spans="1:28" s="44" customFormat="1" ht="30" customHeight="1" x14ac:dyDescent="0.45">
      <c r="A7" s="37">
        <v>18</v>
      </c>
      <c r="B7" s="38">
        <v>917</v>
      </c>
      <c r="C7" s="39" t="s">
        <v>45</v>
      </c>
      <c r="D7" s="37">
        <f>VLOOKUP(PhasesTable[[#This Row],[CIP '#]],ProjectsTable[[CIP '#]:[Project Classification 3]],5,FALSE)</f>
        <v>114</v>
      </c>
      <c r="E7" s="37">
        <f>VLOOKUP(PhasesTable[[#This Row],[CIP '#]],ProjectsTable[[CIP '#]:[Project Classification 3]],6,FALSE)</f>
        <v>114001</v>
      </c>
      <c r="F7" s="40" t="s">
        <v>24</v>
      </c>
      <c r="G7" s="13" t="str">
        <f>VLOOKUP(PhasesTable[[#This Row],[CIP '#]],ProjectsTable[[CIP '#]:[Project Classification 3]],8,FALSE)</f>
        <v>Water</v>
      </c>
      <c r="H7" s="12" t="str">
        <f>VLOOKUP(PhasesTable[[#This Row],[CIP '#]],ProjectsTable[[CIP '#]:[Project Classification 3]],9,FALSE)</f>
        <v>Treatment Plants &amp; Facilities</v>
      </c>
      <c r="I7" s="41" t="str">
        <f>VLOOKUP(PhasesTable[[#This Row],[CIP '#]],ProjectsTable[[CIP '#]:[Project Classification 3]],10,FALSE)</f>
        <v>Springwells</v>
      </c>
      <c r="J7" s="41" t="s">
        <v>215</v>
      </c>
      <c r="K7" s="40" t="s">
        <v>216</v>
      </c>
      <c r="L7" s="41" t="s">
        <v>214</v>
      </c>
      <c r="M7" s="42">
        <v>39465</v>
      </c>
      <c r="N7" s="42">
        <v>43118</v>
      </c>
      <c r="O7" s="129">
        <v>0</v>
      </c>
      <c r="P7" s="130">
        <v>353</v>
      </c>
      <c r="Q7" s="131">
        <v>95</v>
      </c>
      <c r="R7" s="132">
        <v>0</v>
      </c>
      <c r="S7" s="132">
        <v>0</v>
      </c>
      <c r="T7" s="132">
        <v>0</v>
      </c>
      <c r="U7" s="133">
        <v>0</v>
      </c>
      <c r="V7" s="130">
        <v>0</v>
      </c>
      <c r="W7" s="134">
        <f>SUM(Q7:U7)</f>
        <v>95</v>
      </c>
      <c r="X7" s="135">
        <f>SUM(O7:V7)</f>
        <v>448</v>
      </c>
      <c r="Y7" s="15" t="s">
        <v>338</v>
      </c>
      <c r="Z7" s="16" t="s">
        <v>286</v>
      </c>
      <c r="AA7" s="17" t="s">
        <v>335</v>
      </c>
      <c r="AB7" s="43"/>
    </row>
    <row r="8" spans="1:28" s="46" customFormat="1" ht="30" customHeight="1" x14ac:dyDescent="0.45">
      <c r="A8" s="20">
        <v>192</v>
      </c>
      <c r="B8" s="21">
        <v>956</v>
      </c>
      <c r="C8" s="22" t="s">
        <v>184</v>
      </c>
      <c r="D8" s="20">
        <f>VLOOKUP(PhasesTable[[#This Row],[CIP '#]],ProjectsTable[[CIP '#]:[Project Classification 3]],5,FALSE)</f>
        <v>3804</v>
      </c>
      <c r="E8" s="20">
        <f>VLOOKUP(PhasesTable[[#This Row],[CIP '#]],ProjectsTable[[CIP '#]:[Project Classification 3]],6,FALSE)</f>
        <v>380400</v>
      </c>
      <c r="F8" s="24" t="s">
        <v>119</v>
      </c>
      <c r="G8" s="23" t="str">
        <f>VLOOKUP(PhasesTable[[#This Row],[CIP '#]],ProjectsTable[[CIP '#]:[Project Classification 3]],8,FALSE)</f>
        <v>Centralized Services</v>
      </c>
      <c r="H8" s="24" t="str">
        <f>VLOOKUP(PhasesTable[[#This Row],[CIP '#]],ProjectsTable[[CIP '#]:[Project Classification 3]],9,FALSE)</f>
        <v>Programs</v>
      </c>
      <c r="I8" s="24" t="str">
        <f>VLOOKUP(PhasesTable[[#This Row],[CIP '#]],ProjectsTable[[CIP '#]:[Project Classification 3]],10,FALSE)</f>
        <v>Programs</v>
      </c>
      <c r="J8" s="23" t="s">
        <v>240</v>
      </c>
      <c r="K8" s="24" t="s">
        <v>241</v>
      </c>
      <c r="L8" s="23" t="s">
        <v>214</v>
      </c>
      <c r="M8" s="45">
        <v>38800</v>
      </c>
      <c r="N8" s="45">
        <v>42940</v>
      </c>
      <c r="O8" s="136">
        <v>4770.3464999999997</v>
      </c>
      <c r="P8" s="117">
        <v>1400</v>
      </c>
      <c r="Q8" s="118">
        <v>100</v>
      </c>
      <c r="R8" s="119">
        <v>0</v>
      </c>
      <c r="S8" s="119">
        <v>0</v>
      </c>
      <c r="T8" s="119">
        <v>0</v>
      </c>
      <c r="U8" s="120">
        <v>0</v>
      </c>
      <c r="V8" s="117">
        <v>0</v>
      </c>
      <c r="W8" s="121">
        <f>SUM(Q8:U8)</f>
        <v>100</v>
      </c>
      <c r="X8" s="122">
        <f>SUM(O8:V8)</f>
        <v>6270.3464999999997</v>
      </c>
      <c r="Y8" s="26" t="s">
        <v>338</v>
      </c>
      <c r="Z8" s="36" t="s">
        <v>287</v>
      </c>
      <c r="AA8" s="28" t="s">
        <v>335</v>
      </c>
    </row>
    <row r="9" spans="1:28" s="18" customFormat="1" ht="30" customHeight="1" x14ac:dyDescent="0.45">
      <c r="A9" s="29">
        <v>95</v>
      </c>
      <c r="B9" s="30">
        <v>961</v>
      </c>
      <c r="C9" s="31" t="s">
        <v>122</v>
      </c>
      <c r="D9" s="29">
        <f>VLOOKUP(PhasesTable[[#This Row],[CIP '#]],ProjectsTable[[CIP '#]:[Project Classification 3]],5,FALSE)</f>
        <v>211</v>
      </c>
      <c r="E9" s="29">
        <f>VLOOKUP(PhasesTable[[#This Row],[CIP '#]],ProjectsTable[[CIP '#]:[Project Classification 3]],6,FALSE)</f>
        <v>211002</v>
      </c>
      <c r="F9" s="32" t="s">
        <v>119</v>
      </c>
      <c r="G9" s="23" t="str">
        <f>VLOOKUP(PhasesTable[[#This Row],[CIP '#]],ProjectsTable[[CIP '#]:[Project Classification 3]],8,FALSE)</f>
        <v>Wastewater</v>
      </c>
      <c r="H9" s="24" t="str">
        <f>VLOOKUP(PhasesTable[[#This Row],[CIP '#]],ProjectsTable[[CIP '#]:[Project Classification 3]],9,FALSE)</f>
        <v>WRRF</v>
      </c>
      <c r="I9" s="33" t="str">
        <f>VLOOKUP(PhasesTable[[#This Row],[CIP '#]],ProjectsTable[[CIP '#]:[Project Classification 3]],10,FALSE)</f>
        <v>Primary Treatment</v>
      </c>
      <c r="J9" s="32" t="s">
        <v>201</v>
      </c>
      <c r="K9" s="34" t="s">
        <v>252</v>
      </c>
      <c r="L9" s="32" t="s">
        <v>214</v>
      </c>
      <c r="M9" s="35">
        <v>42660</v>
      </c>
      <c r="N9" s="35">
        <v>43636</v>
      </c>
      <c r="O9" s="123">
        <v>0</v>
      </c>
      <c r="P9" s="123">
        <v>1027</v>
      </c>
      <c r="Q9" s="124">
        <v>1232</v>
      </c>
      <c r="R9" s="125">
        <v>616</v>
      </c>
      <c r="S9" s="125">
        <v>0</v>
      </c>
      <c r="T9" s="125">
        <v>0</v>
      </c>
      <c r="U9" s="126">
        <v>0</v>
      </c>
      <c r="V9" s="123">
        <v>0</v>
      </c>
      <c r="W9" s="127">
        <f>SUM(Q9:U9)</f>
        <v>1848</v>
      </c>
      <c r="X9" s="128">
        <f>SUM(O9:V9)</f>
        <v>2875</v>
      </c>
      <c r="Y9" s="26" t="s">
        <v>338</v>
      </c>
      <c r="Z9" s="36" t="s">
        <v>290</v>
      </c>
      <c r="AA9" s="28" t="s">
        <v>335</v>
      </c>
    </row>
    <row r="10" spans="1:28" s="18" customFormat="1" ht="30" customHeight="1" x14ac:dyDescent="0.45">
      <c r="A10" s="29">
        <v>94</v>
      </c>
      <c r="B10" s="30">
        <v>961</v>
      </c>
      <c r="C10" s="31" t="s">
        <v>122</v>
      </c>
      <c r="D10" s="29">
        <f>VLOOKUP(PhasesTable[[#This Row],[CIP '#]],ProjectsTable[[CIP '#]:[Project Classification 3]],5,FALSE)</f>
        <v>211</v>
      </c>
      <c r="E10" s="29">
        <f>VLOOKUP(PhasesTable[[#This Row],[CIP '#]],ProjectsTable[[CIP '#]:[Project Classification 3]],6,FALSE)</f>
        <v>211002</v>
      </c>
      <c r="F10" s="32" t="s">
        <v>119</v>
      </c>
      <c r="G10" s="23" t="str">
        <f>VLOOKUP(PhasesTable[[#This Row],[CIP '#]],ProjectsTable[[CIP '#]:[Project Classification 3]],8,FALSE)</f>
        <v>Wastewater</v>
      </c>
      <c r="H10" s="24" t="str">
        <f>VLOOKUP(PhasesTable[[#This Row],[CIP '#]],ProjectsTable[[CIP '#]:[Project Classification 3]],9,FALSE)</f>
        <v>WRRF</v>
      </c>
      <c r="I10" s="32" t="str">
        <f>VLOOKUP(PhasesTable[[#This Row],[CIP '#]],ProjectsTable[[CIP '#]:[Project Classification 3]],10,FALSE)</f>
        <v>Primary Treatment</v>
      </c>
      <c r="J10" s="32" t="s">
        <v>215</v>
      </c>
      <c r="K10" s="34" t="s">
        <v>251</v>
      </c>
      <c r="L10" s="32" t="s">
        <v>214</v>
      </c>
      <c r="M10" s="35">
        <v>40401</v>
      </c>
      <c r="N10" s="35">
        <v>42989</v>
      </c>
      <c r="O10" s="123">
        <v>455.93599999999998</v>
      </c>
      <c r="P10" s="123">
        <v>130</v>
      </c>
      <c r="Q10" s="124">
        <v>72</v>
      </c>
      <c r="R10" s="125">
        <v>0</v>
      </c>
      <c r="S10" s="125">
        <v>0</v>
      </c>
      <c r="T10" s="125">
        <v>0</v>
      </c>
      <c r="U10" s="126">
        <v>0</v>
      </c>
      <c r="V10" s="123">
        <v>0</v>
      </c>
      <c r="W10" s="127">
        <f>SUM(Q10:U10)</f>
        <v>72</v>
      </c>
      <c r="X10" s="128">
        <f>SUM(O10:V10)</f>
        <v>657.93599999999992</v>
      </c>
      <c r="Y10" s="26" t="s">
        <v>338</v>
      </c>
      <c r="Z10" s="36" t="s">
        <v>287</v>
      </c>
      <c r="AA10" s="28" t="s">
        <v>335</v>
      </c>
    </row>
    <row r="11" spans="1:28" s="19" customFormat="1" ht="30" customHeight="1" x14ac:dyDescent="0.45">
      <c r="A11" s="9">
        <v>83</v>
      </c>
      <c r="B11" s="10">
        <v>1026</v>
      </c>
      <c r="C11" s="11" t="s">
        <v>187</v>
      </c>
      <c r="D11" s="9">
        <f>VLOOKUP(PhasesTable[[#This Row],[CIP '#]],ProjectsTable[[CIP '#]:[Project Classification 3]],5,FALSE)</f>
        <v>3805</v>
      </c>
      <c r="E11" s="9">
        <f>VLOOKUP(PhasesTable[[#This Row],[CIP '#]],ProjectsTable[[CIP '#]:[Project Classification 3]],6,FALSE)</f>
        <v>380500</v>
      </c>
      <c r="F11" s="12" t="s">
        <v>24</v>
      </c>
      <c r="G11" s="13" t="str">
        <f>VLOOKUP(PhasesTable[[#This Row],[CIP '#]],ProjectsTable[[CIP '#]:[Project Classification 3]],8,FALSE)</f>
        <v>Centralized Services</v>
      </c>
      <c r="H11" s="12" t="str">
        <f>VLOOKUP(PhasesTable[[#This Row],[CIP '#]],ProjectsTable[[CIP '#]:[Project Classification 3]],9,FALSE)</f>
        <v>Programs</v>
      </c>
      <c r="I11" s="12" t="str">
        <f>VLOOKUP(PhasesTable[[#This Row],[CIP '#]],ProjectsTable[[CIP '#]:[Project Classification 3]],10,FALSE)</f>
        <v>Programs</v>
      </c>
      <c r="J11" s="13" t="s">
        <v>206</v>
      </c>
      <c r="K11" s="12" t="s">
        <v>242</v>
      </c>
      <c r="L11" s="13" t="s">
        <v>214</v>
      </c>
      <c r="M11" s="14">
        <v>40310</v>
      </c>
      <c r="N11" s="14">
        <v>43253</v>
      </c>
      <c r="O11" s="110">
        <v>5032.3641250000001</v>
      </c>
      <c r="P11" s="111">
        <v>114</v>
      </c>
      <c r="Q11" s="112">
        <v>114</v>
      </c>
      <c r="R11" s="113">
        <v>0</v>
      </c>
      <c r="S11" s="113">
        <v>0</v>
      </c>
      <c r="T11" s="113">
        <v>0</v>
      </c>
      <c r="U11" s="114">
        <v>0</v>
      </c>
      <c r="V11" s="111">
        <v>0</v>
      </c>
      <c r="W11" s="115">
        <f>SUM(Q11:U11)</f>
        <v>114</v>
      </c>
      <c r="X11" s="116">
        <f>SUM(O11:V11)</f>
        <v>5260.3641250000001</v>
      </c>
      <c r="Y11" s="15" t="s">
        <v>338</v>
      </c>
      <c r="Z11" s="47" t="s">
        <v>287</v>
      </c>
      <c r="AA11" s="17" t="s">
        <v>335</v>
      </c>
      <c r="AB11" s="48"/>
    </row>
    <row r="12" spans="1:28" s="18" customFormat="1" ht="30" customHeight="1" x14ac:dyDescent="0.45">
      <c r="A12" s="20">
        <v>193</v>
      </c>
      <c r="B12" s="21">
        <v>1026</v>
      </c>
      <c r="C12" s="22" t="s">
        <v>187</v>
      </c>
      <c r="D12" s="20">
        <f>VLOOKUP(PhasesTable[[#This Row],[CIP '#]],ProjectsTable[[CIP '#]:[Project Classification 3]],5,FALSE)</f>
        <v>3805</v>
      </c>
      <c r="E12" s="20">
        <f>VLOOKUP(PhasesTable[[#This Row],[CIP '#]],ProjectsTable[[CIP '#]:[Project Classification 3]],6,FALSE)</f>
        <v>380500</v>
      </c>
      <c r="F12" s="24" t="s">
        <v>119</v>
      </c>
      <c r="G12" s="23" t="str">
        <f>VLOOKUP(PhasesTable[[#This Row],[CIP '#]],ProjectsTable[[CIP '#]:[Project Classification 3]],8,FALSE)</f>
        <v>Centralized Services</v>
      </c>
      <c r="H12" s="24" t="str">
        <f>VLOOKUP(PhasesTable[[#This Row],[CIP '#]],ProjectsTable[[CIP '#]:[Project Classification 3]],9,FALSE)</f>
        <v>Programs</v>
      </c>
      <c r="I12" s="24" t="str">
        <f>VLOOKUP(PhasesTable[[#This Row],[CIP '#]],ProjectsTable[[CIP '#]:[Project Classification 3]],10,FALSE)</f>
        <v>Programs</v>
      </c>
      <c r="J12" s="23" t="s">
        <v>206</v>
      </c>
      <c r="K12" s="24" t="s">
        <v>242</v>
      </c>
      <c r="L12" s="23" t="s">
        <v>214</v>
      </c>
      <c r="M12" s="45">
        <v>40310</v>
      </c>
      <c r="N12" s="45">
        <v>43253</v>
      </c>
      <c r="O12" s="136">
        <v>5032.3641399999997</v>
      </c>
      <c r="P12" s="117">
        <v>114</v>
      </c>
      <c r="Q12" s="118">
        <v>114</v>
      </c>
      <c r="R12" s="119">
        <v>0</v>
      </c>
      <c r="S12" s="119">
        <v>0</v>
      </c>
      <c r="T12" s="119">
        <v>0</v>
      </c>
      <c r="U12" s="120">
        <v>0</v>
      </c>
      <c r="V12" s="117">
        <v>0</v>
      </c>
      <c r="W12" s="121">
        <f>SUM(Q12:U12)</f>
        <v>114</v>
      </c>
      <c r="X12" s="122">
        <f>SUM(O12:V12)</f>
        <v>5260.3641399999997</v>
      </c>
      <c r="Y12" s="26" t="s">
        <v>338</v>
      </c>
      <c r="Z12" s="36" t="s">
        <v>287</v>
      </c>
      <c r="AA12" s="28" t="s">
        <v>335</v>
      </c>
    </row>
    <row r="13" spans="1:28" s="18" customFormat="1" ht="30" customHeight="1" x14ac:dyDescent="0.45">
      <c r="A13" s="29">
        <v>136</v>
      </c>
      <c r="B13" s="30">
        <v>1028</v>
      </c>
      <c r="C13" s="31" t="s">
        <v>152</v>
      </c>
      <c r="D13" s="29">
        <f>VLOOKUP(PhasesTable[[#This Row],[CIP '#]],ProjectsTable[[CIP '#]:[Project Classification 3]],5,FALSE)</f>
        <v>216</v>
      </c>
      <c r="E13" s="29">
        <f>VLOOKUP(PhasesTable[[#This Row],[CIP '#]],ProjectsTable[[CIP '#]:[Project Classification 3]],6,FALSE)</f>
        <v>216002</v>
      </c>
      <c r="F13" s="32" t="s">
        <v>119</v>
      </c>
      <c r="G13" s="23" t="str">
        <f>VLOOKUP(PhasesTable[[#This Row],[CIP '#]],ProjectsTable[[CIP '#]:[Project Classification 3]],8,FALSE)</f>
        <v>Wastewater</v>
      </c>
      <c r="H13" s="24" t="str">
        <f>VLOOKUP(PhasesTable[[#This Row],[CIP '#]],ProjectsTable[[CIP '#]:[Project Classification 3]],9,FALSE)</f>
        <v>WRRF</v>
      </c>
      <c r="I13" s="33" t="str">
        <f>VLOOKUP(PhasesTable[[#This Row],[CIP '#]],ProjectsTable[[CIP '#]:[Project Classification 3]],10,FALSE)</f>
        <v>General Purpose</v>
      </c>
      <c r="J13" s="32" t="s">
        <v>215</v>
      </c>
      <c r="K13" s="34" t="s">
        <v>271</v>
      </c>
      <c r="L13" s="32" t="s">
        <v>211</v>
      </c>
      <c r="M13" s="49">
        <v>39611</v>
      </c>
      <c r="N13" s="49">
        <v>42369</v>
      </c>
      <c r="O13" s="123">
        <v>0</v>
      </c>
      <c r="P13" s="123">
        <v>23</v>
      </c>
      <c r="Q13" s="124">
        <v>0</v>
      </c>
      <c r="R13" s="125">
        <v>0</v>
      </c>
      <c r="S13" s="125">
        <v>0</v>
      </c>
      <c r="T13" s="125">
        <v>0</v>
      </c>
      <c r="U13" s="126">
        <v>0</v>
      </c>
      <c r="V13" s="123">
        <v>0</v>
      </c>
      <c r="W13" s="127">
        <f>SUM(Q13:U13)</f>
        <v>0</v>
      </c>
      <c r="X13" s="128">
        <f>SUM(O13:V13)</f>
        <v>23</v>
      </c>
      <c r="Y13" s="26" t="s">
        <v>338</v>
      </c>
      <c r="Z13" s="36" t="s">
        <v>286</v>
      </c>
      <c r="AA13" s="28" t="s">
        <v>335</v>
      </c>
    </row>
    <row r="14" spans="1:28" s="18" customFormat="1" ht="30" customHeight="1" x14ac:dyDescent="0.45">
      <c r="A14" s="29">
        <v>135</v>
      </c>
      <c r="B14" s="30">
        <v>1028</v>
      </c>
      <c r="C14" s="31" t="s">
        <v>152</v>
      </c>
      <c r="D14" s="29">
        <f>VLOOKUP(PhasesTable[[#This Row],[CIP '#]],ProjectsTable[[CIP '#]:[Project Classification 3]],5,FALSE)</f>
        <v>216</v>
      </c>
      <c r="E14" s="29">
        <f>VLOOKUP(PhasesTable[[#This Row],[CIP '#]],ProjectsTable[[CIP '#]:[Project Classification 3]],6,FALSE)</f>
        <v>216002</v>
      </c>
      <c r="F14" s="32" t="s">
        <v>119</v>
      </c>
      <c r="G14" s="23" t="str">
        <f>VLOOKUP(PhasesTable[[#This Row],[CIP '#]],ProjectsTable[[CIP '#]:[Project Classification 3]],8,FALSE)</f>
        <v>Wastewater</v>
      </c>
      <c r="H14" s="24" t="str">
        <f>VLOOKUP(PhasesTable[[#This Row],[CIP '#]],ProjectsTable[[CIP '#]:[Project Classification 3]],9,FALSE)</f>
        <v>WRRF</v>
      </c>
      <c r="I14" s="33" t="str">
        <f>VLOOKUP(PhasesTable[[#This Row],[CIP '#]],ProjectsTable[[CIP '#]:[Project Classification 3]],10,FALSE)</f>
        <v>General Purpose</v>
      </c>
      <c r="J14" s="32" t="s">
        <v>201</v>
      </c>
      <c r="K14" s="34" t="s">
        <v>270</v>
      </c>
      <c r="L14" s="32" t="s">
        <v>211</v>
      </c>
      <c r="M14" s="35">
        <v>41379</v>
      </c>
      <c r="N14" s="35">
        <v>42678</v>
      </c>
      <c r="O14" s="123">
        <v>5389.9389699999992</v>
      </c>
      <c r="P14" s="123">
        <v>601</v>
      </c>
      <c r="Q14" s="124">
        <v>0</v>
      </c>
      <c r="R14" s="125">
        <v>0</v>
      </c>
      <c r="S14" s="125">
        <v>0</v>
      </c>
      <c r="T14" s="125">
        <v>0</v>
      </c>
      <c r="U14" s="126">
        <v>0</v>
      </c>
      <c r="V14" s="123">
        <v>0</v>
      </c>
      <c r="W14" s="127">
        <f>SUM(Q14:U14)</f>
        <v>0</v>
      </c>
      <c r="X14" s="128">
        <f>SUM(O14:V14)</f>
        <v>5990.9389699999992</v>
      </c>
      <c r="Y14" s="26" t="s">
        <v>338</v>
      </c>
      <c r="Z14" s="36" t="s">
        <v>286</v>
      </c>
      <c r="AA14" s="28" t="s">
        <v>335</v>
      </c>
    </row>
    <row r="15" spans="1:28" s="19" customFormat="1" ht="30" customHeight="1" x14ac:dyDescent="0.45">
      <c r="A15" s="9">
        <v>84</v>
      </c>
      <c r="B15" s="10">
        <v>1031</v>
      </c>
      <c r="C15" s="11" t="s">
        <v>188</v>
      </c>
      <c r="D15" s="9">
        <f>VLOOKUP(PhasesTable[[#This Row],[CIP '#]],ProjectsTable[[CIP '#]:[Project Classification 3]],5,FALSE)</f>
        <v>3806</v>
      </c>
      <c r="E15" s="9">
        <f>VLOOKUP(PhasesTable[[#This Row],[CIP '#]],ProjectsTable[[CIP '#]:[Project Classification 3]],6,FALSE)</f>
        <v>380600</v>
      </c>
      <c r="F15" s="12" t="s">
        <v>24</v>
      </c>
      <c r="G15" s="13" t="str">
        <f>VLOOKUP(PhasesTable[[#This Row],[CIP '#]],ProjectsTable[[CIP '#]:[Project Classification 3]],8,FALSE)</f>
        <v>Centralized Services</v>
      </c>
      <c r="H15" s="12" t="str">
        <f>VLOOKUP(PhasesTable[[#This Row],[CIP '#]],ProjectsTable[[CIP '#]:[Project Classification 3]],9,FALSE)</f>
        <v>Programs</v>
      </c>
      <c r="I15" s="12" t="str">
        <f>VLOOKUP(PhasesTable[[#This Row],[CIP '#]],ProjectsTable[[CIP '#]:[Project Classification 3]],10,FALSE)</f>
        <v>Programs</v>
      </c>
      <c r="J15" s="13" t="s">
        <v>206</v>
      </c>
      <c r="K15" s="12" t="s">
        <v>243</v>
      </c>
      <c r="L15" s="13" t="s">
        <v>214</v>
      </c>
      <c r="M15" s="14">
        <v>39470</v>
      </c>
      <c r="N15" s="14">
        <v>43446</v>
      </c>
      <c r="O15" s="110">
        <v>7005.59627</v>
      </c>
      <c r="P15" s="111">
        <v>336</v>
      </c>
      <c r="Q15" s="112">
        <v>336</v>
      </c>
      <c r="R15" s="113">
        <v>336</v>
      </c>
      <c r="S15" s="113">
        <v>0</v>
      </c>
      <c r="T15" s="113">
        <v>0</v>
      </c>
      <c r="U15" s="114">
        <v>0</v>
      </c>
      <c r="V15" s="111">
        <v>0</v>
      </c>
      <c r="W15" s="115">
        <f>SUM(Q15:U15)</f>
        <v>672</v>
      </c>
      <c r="X15" s="116">
        <f>SUM(O15:V15)</f>
        <v>8013.59627</v>
      </c>
      <c r="Y15" s="15" t="s">
        <v>338</v>
      </c>
      <c r="Z15" s="47" t="s">
        <v>287</v>
      </c>
      <c r="AA15" s="17" t="s">
        <v>335</v>
      </c>
      <c r="AB15" s="50"/>
    </row>
    <row r="16" spans="1:28" s="18" customFormat="1" ht="30" customHeight="1" x14ac:dyDescent="0.45">
      <c r="A16" s="20">
        <v>194</v>
      </c>
      <c r="B16" s="21">
        <v>1031</v>
      </c>
      <c r="C16" s="22" t="s">
        <v>188</v>
      </c>
      <c r="D16" s="20">
        <f>VLOOKUP(PhasesTable[[#This Row],[CIP '#]],ProjectsTable[[CIP '#]:[Project Classification 3]],5,FALSE)</f>
        <v>3806</v>
      </c>
      <c r="E16" s="20">
        <f>VLOOKUP(PhasesTable[[#This Row],[CIP '#]],ProjectsTable[[CIP '#]:[Project Classification 3]],6,FALSE)</f>
        <v>380600</v>
      </c>
      <c r="F16" s="24" t="s">
        <v>119</v>
      </c>
      <c r="G16" s="23" t="str">
        <f>VLOOKUP(PhasesTable[[#This Row],[CIP '#]],ProjectsTable[[CIP '#]:[Project Classification 3]],8,FALSE)</f>
        <v>Centralized Services</v>
      </c>
      <c r="H16" s="24" t="str">
        <f>VLOOKUP(PhasesTable[[#This Row],[CIP '#]],ProjectsTable[[CIP '#]:[Project Classification 3]],9,FALSE)</f>
        <v>Programs</v>
      </c>
      <c r="I16" s="24" t="str">
        <f>VLOOKUP(PhasesTable[[#This Row],[CIP '#]],ProjectsTable[[CIP '#]:[Project Classification 3]],10,FALSE)</f>
        <v>Programs</v>
      </c>
      <c r="J16" s="23" t="s">
        <v>206</v>
      </c>
      <c r="K16" s="24" t="s">
        <v>243</v>
      </c>
      <c r="L16" s="23" t="s">
        <v>214</v>
      </c>
      <c r="M16" s="45">
        <v>39470</v>
      </c>
      <c r="N16" s="45">
        <v>43446</v>
      </c>
      <c r="O16" s="136">
        <v>7005.59627</v>
      </c>
      <c r="P16" s="117">
        <v>110</v>
      </c>
      <c r="Q16" s="118">
        <v>100</v>
      </c>
      <c r="R16" s="119">
        <v>50</v>
      </c>
      <c r="S16" s="119">
        <v>0</v>
      </c>
      <c r="T16" s="119">
        <v>0</v>
      </c>
      <c r="U16" s="120">
        <v>0</v>
      </c>
      <c r="V16" s="117">
        <v>0</v>
      </c>
      <c r="W16" s="121">
        <f>SUM(Q16:U16)</f>
        <v>150</v>
      </c>
      <c r="X16" s="122">
        <f>SUM(O16:V16)</f>
        <v>7265.59627</v>
      </c>
      <c r="Y16" s="26" t="s">
        <v>338</v>
      </c>
      <c r="Z16" s="36" t="s">
        <v>287</v>
      </c>
      <c r="AA16" s="28" t="s">
        <v>335</v>
      </c>
    </row>
    <row r="17" spans="1:28" s="44" customFormat="1" ht="30" customHeight="1" x14ac:dyDescent="0.45">
      <c r="A17" s="9">
        <v>59</v>
      </c>
      <c r="B17" s="10">
        <v>1047</v>
      </c>
      <c r="C17" s="11" t="s">
        <v>96</v>
      </c>
      <c r="D17" s="9">
        <f>VLOOKUP(PhasesTable[[#This Row],[CIP '#]],ProjectsTable[[CIP '#]:[Project Classification 3]],5,FALSE)</f>
        <v>132</v>
      </c>
      <c r="E17" s="9">
        <f>VLOOKUP(PhasesTable[[#This Row],[CIP '#]],ProjectsTable[[CIP '#]:[Project Classification 3]],6,FALSE)</f>
        <v>132001</v>
      </c>
      <c r="F17" s="12" t="s">
        <v>24</v>
      </c>
      <c r="G17" s="13" t="str">
        <f>VLOOKUP(PhasesTable[[#This Row],[CIP '#]],ProjectsTable[[CIP '#]:[Project Classification 3]],8,FALSE)</f>
        <v>Water</v>
      </c>
      <c r="H17" s="12" t="str">
        <f>VLOOKUP(PhasesTable[[#This Row],[CIP '#]],ProjectsTable[[CIP '#]:[Project Classification 3]],9,FALSE)</f>
        <v>SCC</v>
      </c>
      <c r="I17" s="12" t="str">
        <f>VLOOKUP(PhasesTable[[#This Row],[CIP '#]],ProjectsTable[[CIP '#]:[Project Classification 3]],10,FALSE)</f>
        <v>Pump Station/Reservoir</v>
      </c>
      <c r="J17" s="13" t="s">
        <v>225</v>
      </c>
      <c r="K17" s="12" t="s">
        <v>233</v>
      </c>
      <c r="L17" s="13" t="s">
        <v>211</v>
      </c>
      <c r="M17" s="14">
        <v>39777</v>
      </c>
      <c r="N17" s="14">
        <v>42551</v>
      </c>
      <c r="O17" s="110">
        <v>13451.951239999999</v>
      </c>
      <c r="P17" s="111">
        <v>250</v>
      </c>
      <c r="Q17" s="112">
        <v>0</v>
      </c>
      <c r="R17" s="113">
        <v>0</v>
      </c>
      <c r="S17" s="113">
        <v>0</v>
      </c>
      <c r="T17" s="113">
        <v>0</v>
      </c>
      <c r="U17" s="114">
        <v>0</v>
      </c>
      <c r="V17" s="111">
        <v>0</v>
      </c>
      <c r="W17" s="115">
        <f>SUM(Q17:U17)</f>
        <v>0</v>
      </c>
      <c r="X17" s="116">
        <f>SUM(O17:V17)</f>
        <v>13701.951239999999</v>
      </c>
      <c r="Y17" s="15" t="s">
        <v>338</v>
      </c>
      <c r="Z17" s="47" t="s">
        <v>286</v>
      </c>
      <c r="AA17" s="17" t="s">
        <v>335</v>
      </c>
      <c r="AB17" s="43"/>
    </row>
    <row r="18" spans="1:28" s="44" customFormat="1" ht="30" customHeight="1" x14ac:dyDescent="0.45">
      <c r="A18" s="51">
        <v>206</v>
      </c>
      <c r="B18" s="38">
        <v>1071</v>
      </c>
      <c r="C18" s="39" t="s">
        <v>48</v>
      </c>
      <c r="D18" s="38">
        <f>VLOOKUP(PhasesTable[[#This Row],[CIP '#]],ProjectsTable[[CIP '#]:[Project Classification 3]],5,FALSE)</f>
        <v>114</v>
      </c>
      <c r="E18" s="38">
        <f>VLOOKUP(PhasesTable[[#This Row],[CIP '#]],ProjectsTable[[CIP '#]:[Project Classification 3]],6,FALSE)</f>
        <v>114002</v>
      </c>
      <c r="F18" s="40" t="s">
        <v>24</v>
      </c>
      <c r="G18" s="52" t="str">
        <f>VLOOKUP(PhasesTable[[#This Row],[CIP '#]],ProjectsTable[[CIP '#]:[Project Classification 3]],8,FALSE)</f>
        <v>Water</v>
      </c>
      <c r="H18" s="53" t="str">
        <f>VLOOKUP(PhasesTable[[#This Row],[CIP '#]],ProjectsTable[[CIP '#]:[Project Classification 3]],9,FALSE)</f>
        <v>Treatment Plants &amp; Facilities</v>
      </c>
      <c r="I18" s="52" t="str">
        <f>VLOOKUP(PhasesTable[[#This Row],[CIP '#]],ProjectsTable[[CIP '#]:[Project Classification 3]],10,FALSE)</f>
        <v>Springwells</v>
      </c>
      <c r="J18" s="41" t="s">
        <v>215</v>
      </c>
      <c r="K18" s="40" t="s">
        <v>304</v>
      </c>
      <c r="L18" s="41" t="s">
        <v>222</v>
      </c>
      <c r="M18" s="42" t="s">
        <v>27</v>
      </c>
      <c r="N18" s="42" t="s">
        <v>27</v>
      </c>
      <c r="O18" s="137">
        <v>0</v>
      </c>
      <c r="P18" s="130">
        <v>0</v>
      </c>
      <c r="Q18" s="131">
        <v>1500</v>
      </c>
      <c r="R18" s="132">
        <v>2000</v>
      </c>
      <c r="S18" s="132">
        <v>2500</v>
      </c>
      <c r="T18" s="132">
        <v>2000</v>
      </c>
      <c r="U18" s="133">
        <v>1500</v>
      </c>
      <c r="V18" s="130">
        <v>1500</v>
      </c>
      <c r="W18" s="134">
        <f>SUM(Q18:U18)</f>
        <v>9500</v>
      </c>
      <c r="X18" s="135">
        <f>SUM(O18:V18)</f>
        <v>11000</v>
      </c>
      <c r="Y18" s="15" t="s">
        <v>338</v>
      </c>
      <c r="Z18" s="54" t="s">
        <v>288</v>
      </c>
      <c r="AA18" s="17" t="s">
        <v>335</v>
      </c>
      <c r="AB18" s="43"/>
    </row>
    <row r="19" spans="1:28" s="44" customFormat="1" ht="30" customHeight="1" x14ac:dyDescent="0.45">
      <c r="A19" s="37">
        <v>19</v>
      </c>
      <c r="B19" s="38">
        <v>1071</v>
      </c>
      <c r="C19" s="39" t="s">
        <v>48</v>
      </c>
      <c r="D19" s="37">
        <f>VLOOKUP(PhasesTable[[#This Row],[CIP '#]],ProjectsTable[[CIP '#]:[Project Classification 3]],5,FALSE)</f>
        <v>114</v>
      </c>
      <c r="E19" s="37">
        <f>VLOOKUP(PhasesTable[[#This Row],[CIP '#]],ProjectsTable[[CIP '#]:[Project Classification 3]],6,FALSE)</f>
        <v>114002</v>
      </c>
      <c r="F19" s="40" t="s">
        <v>24</v>
      </c>
      <c r="G19" s="41" t="str">
        <f>VLOOKUP(PhasesTable[[#This Row],[CIP '#]],ProjectsTable[[CIP '#]:[Project Classification 3]],8,FALSE)</f>
        <v>Water</v>
      </c>
      <c r="H19" s="40" t="str">
        <f>VLOOKUP(PhasesTable[[#This Row],[CIP '#]],ProjectsTable[[CIP '#]:[Project Classification 3]],9,FALSE)</f>
        <v>Treatment Plants &amp; Facilities</v>
      </c>
      <c r="I19" s="41" t="str">
        <f>VLOOKUP(PhasesTable[[#This Row],[CIP '#]],ProjectsTable[[CIP '#]:[Project Classification 3]],10,FALSE)</f>
        <v>Springwells</v>
      </c>
      <c r="J19" s="41" t="s">
        <v>201</v>
      </c>
      <c r="K19" s="40" t="s">
        <v>27</v>
      </c>
      <c r="L19" s="41" t="s">
        <v>200</v>
      </c>
      <c r="M19" s="42" t="s">
        <v>27</v>
      </c>
      <c r="N19" s="42" t="s">
        <v>27</v>
      </c>
      <c r="O19" s="129">
        <v>0</v>
      </c>
      <c r="P19" s="130">
        <v>0</v>
      </c>
      <c r="Q19" s="131">
        <v>0</v>
      </c>
      <c r="R19" s="132">
        <v>0</v>
      </c>
      <c r="S19" s="132">
        <v>10000</v>
      </c>
      <c r="T19" s="132">
        <v>20000</v>
      </c>
      <c r="U19" s="133">
        <v>20000</v>
      </c>
      <c r="V19" s="130">
        <v>25000</v>
      </c>
      <c r="W19" s="134">
        <f>SUM(Q19:U19)</f>
        <v>50000</v>
      </c>
      <c r="X19" s="135">
        <f>SUM(O19:V19)</f>
        <v>75000</v>
      </c>
      <c r="Y19" s="15" t="s">
        <v>338</v>
      </c>
      <c r="Z19" s="16" t="s">
        <v>288</v>
      </c>
      <c r="AA19" s="17" t="s">
        <v>335</v>
      </c>
      <c r="AB19" s="43"/>
    </row>
    <row r="20" spans="1:28" s="43" customFormat="1" ht="30" customHeight="1" x14ac:dyDescent="0.45">
      <c r="A20" s="20">
        <v>107</v>
      </c>
      <c r="B20" s="21">
        <v>1100</v>
      </c>
      <c r="C20" s="22" t="s">
        <v>132</v>
      </c>
      <c r="D20" s="20">
        <f>VLOOKUP(PhasesTable[[#This Row],[CIP '#]],ProjectsTable[[CIP '#]:[Project Classification 3]],5,FALSE)</f>
        <v>212</v>
      </c>
      <c r="E20" s="20">
        <f>VLOOKUP(PhasesTable[[#This Row],[CIP '#]],ProjectsTable[[CIP '#]:[Project Classification 3]],6,FALSE)</f>
        <v>212001</v>
      </c>
      <c r="F20" s="23" t="s">
        <v>119</v>
      </c>
      <c r="G20" s="23" t="str">
        <f>VLOOKUP(PhasesTable[[#This Row],[CIP '#]],ProjectsTable[[CIP '#]:[Project Classification 3]],8,FALSE)</f>
        <v>Wastewater</v>
      </c>
      <c r="H20" s="24" t="str">
        <f>VLOOKUP(PhasesTable[[#This Row],[CIP '#]],ProjectsTable[[CIP '#]:[Project Classification 3]],9,FALSE)</f>
        <v>WRRF</v>
      </c>
      <c r="I20" s="24" t="str">
        <f>VLOOKUP(PhasesTable[[#This Row],[CIP '#]],ProjectsTable[[CIP '#]:[Project Classification 3]],10,FALSE)</f>
        <v>Secondary Treatment &amp; Disinfection</v>
      </c>
      <c r="J20" s="23" t="s">
        <v>201</v>
      </c>
      <c r="K20" s="55" t="s">
        <v>255</v>
      </c>
      <c r="L20" s="23" t="s">
        <v>211</v>
      </c>
      <c r="M20" s="25">
        <v>40413</v>
      </c>
      <c r="N20" s="25">
        <v>42499</v>
      </c>
      <c r="O20" s="117">
        <v>24059.704000000002</v>
      </c>
      <c r="P20" s="117">
        <v>115</v>
      </c>
      <c r="Q20" s="118">
        <v>0</v>
      </c>
      <c r="R20" s="119">
        <v>0</v>
      </c>
      <c r="S20" s="119">
        <v>0</v>
      </c>
      <c r="T20" s="119">
        <v>0</v>
      </c>
      <c r="U20" s="120"/>
      <c r="V20" s="117">
        <v>0</v>
      </c>
      <c r="W20" s="121">
        <f>SUM(Q20:U20)</f>
        <v>0</v>
      </c>
      <c r="X20" s="122">
        <f>SUM(O20:V20)</f>
        <v>24174.704000000002</v>
      </c>
      <c r="Y20" s="26" t="s">
        <v>338</v>
      </c>
      <c r="Z20" s="36" t="s">
        <v>286</v>
      </c>
      <c r="AA20" s="28" t="s">
        <v>335</v>
      </c>
    </row>
    <row r="21" spans="1:28" s="19" customFormat="1" ht="30" customHeight="1" x14ac:dyDescent="0.45">
      <c r="A21" s="9">
        <v>41</v>
      </c>
      <c r="B21" s="10">
        <v>1112</v>
      </c>
      <c r="C21" s="11" t="s">
        <v>73</v>
      </c>
      <c r="D21" s="9">
        <f>VLOOKUP(PhasesTable[[#This Row],[CIP '#]],ProjectsTable[[CIP '#]:[Project Classification 3]],5,FALSE)</f>
        <v>122</v>
      </c>
      <c r="E21" s="9">
        <f>VLOOKUP(PhasesTable[[#This Row],[CIP '#]],ProjectsTable[[CIP '#]:[Project Classification 3]],6,FALSE)</f>
        <v>122001</v>
      </c>
      <c r="F21" s="12" t="s">
        <v>24</v>
      </c>
      <c r="G21" s="13" t="str">
        <f>VLOOKUP(PhasesTable[[#This Row],[CIP '#]],ProjectsTable[[CIP '#]:[Project Classification 3]],8,FALSE)</f>
        <v>Water</v>
      </c>
      <c r="H21" s="12" t="str">
        <f>VLOOKUP(PhasesTable[[#This Row],[CIP '#]],ProjectsTable[[CIP '#]:[Project Classification 3]],9,FALSE)</f>
        <v>Field Services</v>
      </c>
      <c r="I21" s="13" t="str">
        <f>VLOOKUP(PhasesTable[[#This Row],[CIP '#]],ProjectsTable[[CIP '#]:[Project Classification 3]],10,FALSE)</f>
        <v>Transmission System</v>
      </c>
      <c r="J21" s="13" t="s">
        <v>201</v>
      </c>
      <c r="K21" s="12" t="s">
        <v>227</v>
      </c>
      <c r="L21" s="13" t="s">
        <v>211</v>
      </c>
      <c r="M21" s="14">
        <v>41736</v>
      </c>
      <c r="N21" s="14">
        <v>42652</v>
      </c>
      <c r="O21" s="110">
        <v>26925.666980000002</v>
      </c>
      <c r="P21" s="111">
        <v>2367</v>
      </c>
      <c r="Q21" s="112">
        <v>715</v>
      </c>
      <c r="R21" s="113">
        <v>0</v>
      </c>
      <c r="S21" s="113">
        <v>0</v>
      </c>
      <c r="T21" s="113">
        <v>0</v>
      </c>
      <c r="U21" s="114">
        <v>0</v>
      </c>
      <c r="V21" s="111">
        <v>0</v>
      </c>
      <c r="W21" s="115">
        <f>SUM(Q21:U21)</f>
        <v>715</v>
      </c>
      <c r="X21" s="116">
        <f>SUM(O21:V21)</f>
        <v>30007.666980000002</v>
      </c>
      <c r="Y21" s="15" t="s">
        <v>339</v>
      </c>
      <c r="Z21" s="47" t="s">
        <v>286</v>
      </c>
      <c r="AA21" s="17" t="s">
        <v>335</v>
      </c>
      <c r="AB21" s="18"/>
    </row>
    <row r="22" spans="1:28" s="43" customFormat="1" ht="30" customHeight="1" x14ac:dyDescent="0.45">
      <c r="A22" s="20">
        <v>112</v>
      </c>
      <c r="B22" s="21">
        <v>1117</v>
      </c>
      <c r="C22" s="22" t="s">
        <v>294</v>
      </c>
      <c r="D22" s="20">
        <f>VLOOKUP(PhasesTable[[#This Row],[CIP '#]],ProjectsTable[[CIP '#]:[Project Classification 3]],5,FALSE)</f>
        <v>212</v>
      </c>
      <c r="E22" s="20">
        <f>VLOOKUP(PhasesTable[[#This Row],[CIP '#]],ProjectsTable[[CIP '#]:[Project Classification 3]],6,FALSE)</f>
        <v>212002</v>
      </c>
      <c r="F22" s="23" t="s">
        <v>119</v>
      </c>
      <c r="G22" s="23" t="str">
        <f>VLOOKUP(PhasesTable[[#This Row],[CIP '#]],ProjectsTable[[CIP '#]:[Project Classification 3]],8,FALSE)</f>
        <v>Wastewater</v>
      </c>
      <c r="H22" s="24" t="str">
        <f>VLOOKUP(PhasesTable[[#This Row],[CIP '#]],ProjectsTable[[CIP '#]:[Project Classification 3]],9,FALSE)</f>
        <v>WRRF</v>
      </c>
      <c r="I22" s="24" t="str">
        <f>VLOOKUP(PhasesTable[[#This Row],[CIP '#]],ProjectsTable[[CIP '#]:[Project Classification 3]],10,FALSE)</f>
        <v>Secondary Treatment &amp; Disinfection</v>
      </c>
      <c r="J22" s="23" t="s">
        <v>215</v>
      </c>
      <c r="K22" s="55" t="s">
        <v>258</v>
      </c>
      <c r="L22" s="23" t="s">
        <v>211</v>
      </c>
      <c r="M22" s="25">
        <v>39021</v>
      </c>
      <c r="N22" s="25">
        <v>42674</v>
      </c>
      <c r="O22" s="117">
        <v>8448.5937300000005</v>
      </c>
      <c r="P22" s="117">
        <v>33</v>
      </c>
      <c r="Q22" s="118">
        <v>0</v>
      </c>
      <c r="R22" s="119">
        <v>0</v>
      </c>
      <c r="S22" s="119">
        <v>0</v>
      </c>
      <c r="T22" s="119">
        <v>0</v>
      </c>
      <c r="U22" s="120">
        <v>0</v>
      </c>
      <c r="V22" s="117">
        <v>0</v>
      </c>
      <c r="W22" s="121">
        <f>SUM(Q22:U22)</f>
        <v>0</v>
      </c>
      <c r="X22" s="122">
        <f>SUM(O22:V22)</f>
        <v>8481.5937300000005</v>
      </c>
      <c r="Y22" s="26" t="s">
        <v>338</v>
      </c>
      <c r="Z22" s="36" t="s">
        <v>286</v>
      </c>
      <c r="AA22" s="28" t="s">
        <v>335</v>
      </c>
    </row>
    <row r="23" spans="1:28" s="43" customFormat="1" ht="30" customHeight="1" x14ac:dyDescent="0.45">
      <c r="A23" s="29">
        <v>137</v>
      </c>
      <c r="B23" s="30">
        <v>1140</v>
      </c>
      <c r="C23" s="31" t="s">
        <v>301</v>
      </c>
      <c r="D23" s="29">
        <f>VLOOKUP(PhasesTable[[#This Row],[CIP '#]],ProjectsTable[[CIP '#]:[Project Classification 3]],5,FALSE)</f>
        <v>216</v>
      </c>
      <c r="E23" s="29">
        <f>VLOOKUP(PhasesTable[[#This Row],[CIP '#]],ProjectsTable[[CIP '#]:[Project Classification 3]],6,FALSE)</f>
        <v>216003</v>
      </c>
      <c r="F23" s="32" t="s">
        <v>119</v>
      </c>
      <c r="G23" s="23" t="str">
        <f>VLOOKUP(PhasesTable[[#This Row],[CIP '#]],ProjectsTable[[CIP '#]:[Project Classification 3]],8,FALSE)</f>
        <v>Wastewater</v>
      </c>
      <c r="H23" s="24" t="str">
        <f>VLOOKUP(PhasesTable[[#This Row],[CIP '#]],ProjectsTable[[CIP '#]:[Project Classification 3]],9,FALSE)</f>
        <v>WRRF</v>
      </c>
      <c r="I23" s="33" t="str">
        <f>VLOOKUP(PhasesTable[[#This Row],[CIP '#]],ProjectsTable[[CIP '#]:[Project Classification 3]],10,FALSE)</f>
        <v>General Purpose</v>
      </c>
      <c r="J23" s="32" t="s">
        <v>201</v>
      </c>
      <c r="K23" s="34" t="s">
        <v>27</v>
      </c>
      <c r="L23" s="32" t="s">
        <v>200</v>
      </c>
      <c r="M23" s="35" t="s">
        <v>27</v>
      </c>
      <c r="N23" s="35" t="s">
        <v>27</v>
      </c>
      <c r="O23" s="123">
        <v>0</v>
      </c>
      <c r="P23" s="123">
        <v>0</v>
      </c>
      <c r="Q23" s="124">
        <v>500</v>
      </c>
      <c r="R23" s="125">
        <v>1500</v>
      </c>
      <c r="S23" s="125">
        <v>1000</v>
      </c>
      <c r="T23" s="125">
        <v>1110</v>
      </c>
      <c r="U23" s="126">
        <v>0</v>
      </c>
      <c r="V23" s="123">
        <v>0</v>
      </c>
      <c r="W23" s="127">
        <f>SUM(Q23:U23)</f>
        <v>4110</v>
      </c>
      <c r="X23" s="128">
        <f>SUM(O23:V23)</f>
        <v>4110</v>
      </c>
      <c r="Y23" s="26" t="s">
        <v>338</v>
      </c>
      <c r="Z23" s="36" t="s">
        <v>288</v>
      </c>
      <c r="AA23" s="28" t="s">
        <v>335</v>
      </c>
    </row>
    <row r="24" spans="1:28" s="18" customFormat="1" ht="30" customHeight="1" x14ac:dyDescent="0.45">
      <c r="A24" s="29">
        <v>138</v>
      </c>
      <c r="B24" s="30">
        <v>1140</v>
      </c>
      <c r="C24" s="31" t="s">
        <v>301</v>
      </c>
      <c r="D24" s="29">
        <f>VLOOKUP(PhasesTable[[#This Row],[CIP '#]],ProjectsTable[[CIP '#]:[Project Classification 3]],5,FALSE)</f>
        <v>216</v>
      </c>
      <c r="E24" s="29">
        <f>VLOOKUP(PhasesTable[[#This Row],[CIP '#]],ProjectsTable[[CIP '#]:[Project Classification 3]],6,FALSE)</f>
        <v>216003</v>
      </c>
      <c r="F24" s="32" t="s">
        <v>119</v>
      </c>
      <c r="G24" s="23" t="str">
        <f>VLOOKUP(PhasesTable[[#This Row],[CIP '#]],ProjectsTable[[CIP '#]:[Project Classification 3]],8,FALSE)</f>
        <v>Wastewater</v>
      </c>
      <c r="H24" s="24" t="str">
        <f>VLOOKUP(PhasesTable[[#This Row],[CIP '#]],ProjectsTable[[CIP '#]:[Project Classification 3]],9,FALSE)</f>
        <v>WRRF</v>
      </c>
      <c r="I24" s="33" t="str">
        <f>VLOOKUP(PhasesTable[[#This Row],[CIP '#]],ProjectsTable[[CIP '#]:[Project Classification 3]],10,FALSE)</f>
        <v>General Purpose</v>
      </c>
      <c r="J24" s="32" t="s">
        <v>215</v>
      </c>
      <c r="K24" s="34" t="s">
        <v>27</v>
      </c>
      <c r="L24" s="32" t="s">
        <v>200</v>
      </c>
      <c r="M24" s="35" t="s">
        <v>27</v>
      </c>
      <c r="N24" s="35" t="s">
        <v>27</v>
      </c>
      <c r="O24" s="123">
        <v>0</v>
      </c>
      <c r="P24" s="123">
        <v>50</v>
      </c>
      <c r="Q24" s="124">
        <v>190</v>
      </c>
      <c r="R24" s="125">
        <v>400</v>
      </c>
      <c r="S24" s="125">
        <v>150</v>
      </c>
      <c r="T24" s="125">
        <v>100</v>
      </c>
      <c r="U24" s="126">
        <v>0</v>
      </c>
      <c r="V24" s="123">
        <v>0</v>
      </c>
      <c r="W24" s="127">
        <f>SUM(Q24:U24)</f>
        <v>840</v>
      </c>
      <c r="X24" s="128">
        <f>SUM(O24:V24)</f>
        <v>890</v>
      </c>
      <c r="Y24" s="26" t="s">
        <v>338</v>
      </c>
      <c r="Z24" s="36" t="s">
        <v>288</v>
      </c>
      <c r="AA24" s="28" t="s">
        <v>335</v>
      </c>
    </row>
    <row r="25" spans="1:28" s="18" customFormat="1" ht="30" customHeight="1" x14ac:dyDescent="0.45">
      <c r="A25" s="20">
        <v>96</v>
      </c>
      <c r="B25" s="21">
        <v>1141</v>
      </c>
      <c r="C25" s="22" t="s">
        <v>124</v>
      </c>
      <c r="D25" s="20">
        <f>VLOOKUP(PhasesTable[[#This Row],[CIP '#]],ProjectsTable[[CIP '#]:[Project Classification 3]],5,FALSE)</f>
        <v>211</v>
      </c>
      <c r="E25" s="20">
        <f>VLOOKUP(PhasesTable[[#This Row],[CIP '#]],ProjectsTable[[CIP '#]:[Project Classification 3]],6,FALSE)</f>
        <v>211003</v>
      </c>
      <c r="F25" s="23" t="s">
        <v>119</v>
      </c>
      <c r="G25" s="23" t="str">
        <f>VLOOKUP(PhasesTable[[#This Row],[CIP '#]],ProjectsTable[[CIP '#]:[Project Classification 3]],8,FALSE)</f>
        <v>Wastewater</v>
      </c>
      <c r="H25" s="24" t="str">
        <f>VLOOKUP(PhasesTable[[#This Row],[CIP '#]],ProjectsTable[[CIP '#]:[Project Classification 3]],9,FALSE)</f>
        <v>WRRF</v>
      </c>
      <c r="I25" s="24" t="str">
        <f>VLOOKUP(PhasesTable[[#This Row],[CIP '#]],ProjectsTable[[CIP '#]:[Project Classification 3]],10,FALSE)</f>
        <v>Primary Treatment</v>
      </c>
      <c r="J25" s="23" t="s">
        <v>215</v>
      </c>
      <c r="K25" s="55" t="s">
        <v>253</v>
      </c>
      <c r="L25" s="23" t="s">
        <v>214</v>
      </c>
      <c r="M25" s="25">
        <v>40401</v>
      </c>
      <c r="N25" s="25">
        <v>43655</v>
      </c>
      <c r="O25" s="117">
        <v>1.0660000000000001</v>
      </c>
      <c r="P25" s="117">
        <v>220</v>
      </c>
      <c r="Q25" s="118">
        <v>240</v>
      </c>
      <c r="R25" s="119">
        <v>120</v>
      </c>
      <c r="S25" s="119">
        <v>0</v>
      </c>
      <c r="T25" s="119">
        <v>0</v>
      </c>
      <c r="U25" s="120">
        <v>0</v>
      </c>
      <c r="V25" s="117">
        <v>0</v>
      </c>
      <c r="W25" s="121">
        <f>SUM(Q25:U25)</f>
        <v>360</v>
      </c>
      <c r="X25" s="122">
        <f>SUM(O25:V25)</f>
        <v>581.06600000000003</v>
      </c>
      <c r="Y25" s="26" t="s">
        <v>338</v>
      </c>
      <c r="Z25" s="36" t="s">
        <v>288</v>
      </c>
      <c r="AA25" s="28" t="s">
        <v>335</v>
      </c>
    </row>
    <row r="26" spans="1:28" s="18" customFormat="1" ht="30" customHeight="1" x14ac:dyDescent="0.45">
      <c r="A26" s="29">
        <v>118</v>
      </c>
      <c r="B26" s="30">
        <v>1144</v>
      </c>
      <c r="C26" s="31" t="s">
        <v>141</v>
      </c>
      <c r="D26" s="29">
        <f>VLOOKUP(PhasesTable[[#This Row],[CIP '#]],ProjectsTable[[CIP '#]:[Project Classification 3]],5,FALSE)</f>
        <v>213</v>
      </c>
      <c r="E26" s="29">
        <f>VLOOKUP(PhasesTable[[#This Row],[CIP '#]],ProjectsTable[[CIP '#]:[Project Classification 3]],6,FALSE)</f>
        <v>213001</v>
      </c>
      <c r="F26" s="32" t="s">
        <v>119</v>
      </c>
      <c r="G26" s="23" t="str">
        <f>VLOOKUP(PhasesTable[[#This Row],[CIP '#]],ProjectsTable[[CIP '#]:[Project Classification 3]],8,FALSE)</f>
        <v>Wastewater</v>
      </c>
      <c r="H26" s="24" t="str">
        <f>VLOOKUP(PhasesTable[[#This Row],[CIP '#]],ProjectsTable[[CIP '#]:[Project Classification 3]],9,FALSE)</f>
        <v>WRRF</v>
      </c>
      <c r="I26" s="33" t="str">
        <f>VLOOKUP(PhasesTable[[#This Row],[CIP '#]],ProjectsTable[[CIP '#]:[Project Classification 3]],10,FALSE)</f>
        <v>Residuals Management</v>
      </c>
      <c r="J26" s="32" t="s">
        <v>201</v>
      </c>
      <c r="K26" s="34" t="s">
        <v>263</v>
      </c>
      <c r="L26" s="32" t="s">
        <v>214</v>
      </c>
      <c r="M26" s="35">
        <v>41050</v>
      </c>
      <c r="N26" s="35">
        <v>42585</v>
      </c>
      <c r="O26" s="123">
        <v>27.300896999999999</v>
      </c>
      <c r="P26" s="123">
        <v>1776</v>
      </c>
      <c r="Q26" s="124">
        <v>0</v>
      </c>
      <c r="R26" s="125">
        <v>0</v>
      </c>
      <c r="S26" s="125">
        <v>0</v>
      </c>
      <c r="T26" s="125">
        <v>0</v>
      </c>
      <c r="U26" s="126">
        <v>0</v>
      </c>
      <c r="V26" s="123">
        <v>0</v>
      </c>
      <c r="W26" s="127">
        <f>SUM(Q26:U26)</f>
        <v>0</v>
      </c>
      <c r="X26" s="128">
        <f>SUM(O26:V26)</f>
        <v>1803.3008970000001</v>
      </c>
      <c r="Y26" s="26" t="s">
        <v>338</v>
      </c>
      <c r="Z26" s="36" t="s">
        <v>286</v>
      </c>
      <c r="AA26" s="28" t="s">
        <v>335</v>
      </c>
    </row>
    <row r="27" spans="1:28" s="18" customFormat="1" ht="30" customHeight="1" x14ac:dyDescent="0.45">
      <c r="A27" s="29">
        <v>119</v>
      </c>
      <c r="B27" s="30">
        <v>1144</v>
      </c>
      <c r="C27" s="31" t="s">
        <v>141</v>
      </c>
      <c r="D27" s="29">
        <f>VLOOKUP(PhasesTable[[#This Row],[CIP '#]],ProjectsTable[[CIP '#]:[Project Classification 3]],5,FALSE)</f>
        <v>213</v>
      </c>
      <c r="E27" s="29">
        <f>VLOOKUP(PhasesTable[[#This Row],[CIP '#]],ProjectsTable[[CIP '#]:[Project Classification 3]],6,FALSE)</f>
        <v>213001</v>
      </c>
      <c r="F27" s="32" t="s">
        <v>119</v>
      </c>
      <c r="G27" s="23" t="str">
        <f>VLOOKUP(PhasesTable[[#This Row],[CIP '#]],ProjectsTable[[CIP '#]:[Project Classification 3]],8,FALSE)</f>
        <v>Wastewater</v>
      </c>
      <c r="H27" s="24" t="str">
        <f>VLOOKUP(PhasesTable[[#This Row],[CIP '#]],ProjectsTable[[CIP '#]:[Project Classification 3]],9,FALSE)</f>
        <v>WRRF</v>
      </c>
      <c r="I27" s="33" t="str">
        <f>VLOOKUP(PhasesTable[[#This Row],[CIP '#]],ProjectsTable[[CIP '#]:[Project Classification 3]],10,FALSE)</f>
        <v>Residuals Management</v>
      </c>
      <c r="J27" s="32" t="s">
        <v>215</v>
      </c>
      <c r="K27" s="34" t="s">
        <v>264</v>
      </c>
      <c r="L27" s="32" t="s">
        <v>214</v>
      </c>
      <c r="M27" s="35">
        <v>40189</v>
      </c>
      <c r="N27" s="35">
        <v>42735</v>
      </c>
      <c r="O27" s="123">
        <v>1.988</v>
      </c>
      <c r="P27" s="123">
        <v>96</v>
      </c>
      <c r="Q27" s="124">
        <v>0</v>
      </c>
      <c r="R27" s="125">
        <v>0</v>
      </c>
      <c r="S27" s="125">
        <v>0</v>
      </c>
      <c r="T27" s="125">
        <v>0</v>
      </c>
      <c r="U27" s="126">
        <v>0</v>
      </c>
      <c r="V27" s="123">
        <v>0</v>
      </c>
      <c r="W27" s="127">
        <f>SUM(Q27:U27)</f>
        <v>0</v>
      </c>
      <c r="X27" s="128">
        <f>SUM(O27:V27)</f>
        <v>97.988</v>
      </c>
      <c r="Y27" s="26" t="s">
        <v>338</v>
      </c>
      <c r="Z27" s="36" t="s">
        <v>286</v>
      </c>
      <c r="AA27" s="28" t="s">
        <v>335</v>
      </c>
    </row>
    <row r="28" spans="1:28" s="19" customFormat="1" ht="30" customHeight="1" x14ac:dyDescent="0.45">
      <c r="A28" s="9">
        <v>85</v>
      </c>
      <c r="B28" s="10">
        <v>1147</v>
      </c>
      <c r="C28" s="11" t="s">
        <v>189</v>
      </c>
      <c r="D28" s="9">
        <f>VLOOKUP(PhasesTable[[#This Row],[CIP '#]],ProjectsTable[[CIP '#]:[Project Classification 3]],5,FALSE)</f>
        <v>3807</v>
      </c>
      <c r="E28" s="9">
        <f>VLOOKUP(PhasesTable[[#This Row],[CIP '#]],ProjectsTable[[CIP '#]:[Project Classification 3]],6,FALSE)</f>
        <v>380700</v>
      </c>
      <c r="F28" s="12" t="s">
        <v>24</v>
      </c>
      <c r="G28" s="13" t="str">
        <f>VLOOKUP(PhasesTable[[#This Row],[CIP '#]],ProjectsTable[[CIP '#]:[Project Classification 3]],8,FALSE)</f>
        <v>Water</v>
      </c>
      <c r="H28" s="12" t="str">
        <f>VLOOKUP(PhasesTable[[#This Row],[CIP '#]],ProjectsTable[[CIP '#]:[Project Classification 3]],9,FALSE)</f>
        <v>Programs</v>
      </c>
      <c r="I28" s="12" t="str">
        <f>VLOOKUP(PhasesTable[[#This Row],[CIP '#]],ProjectsTable[[CIP '#]:[Project Classification 3]],10,FALSE)</f>
        <v>Programs</v>
      </c>
      <c r="J28" s="13" t="s">
        <v>199</v>
      </c>
      <c r="K28" s="12" t="s">
        <v>244</v>
      </c>
      <c r="L28" s="13" t="s">
        <v>214</v>
      </c>
      <c r="M28" s="14">
        <v>39911</v>
      </c>
      <c r="N28" s="14">
        <v>44294</v>
      </c>
      <c r="O28" s="110">
        <v>0</v>
      </c>
      <c r="P28" s="111">
        <v>650</v>
      </c>
      <c r="Q28" s="112">
        <v>907</v>
      </c>
      <c r="R28" s="113">
        <v>333.33</v>
      </c>
      <c r="S28" s="113">
        <v>333</v>
      </c>
      <c r="T28" s="113">
        <v>333</v>
      </c>
      <c r="U28" s="114">
        <v>0</v>
      </c>
      <c r="V28" s="111">
        <v>0</v>
      </c>
      <c r="W28" s="115">
        <f>SUM(Q28:U28)</f>
        <v>1906.33</v>
      </c>
      <c r="X28" s="116">
        <f>SUM(O28:V28)</f>
        <v>2556.33</v>
      </c>
      <c r="Y28" s="15" t="s">
        <v>338</v>
      </c>
      <c r="Z28" s="47" t="s">
        <v>287</v>
      </c>
      <c r="AA28" s="17" t="s">
        <v>335</v>
      </c>
    </row>
    <row r="29" spans="1:28" s="19" customFormat="1" ht="30" customHeight="1" x14ac:dyDescent="0.45">
      <c r="A29" s="20">
        <v>196</v>
      </c>
      <c r="B29" s="21">
        <v>1153</v>
      </c>
      <c r="C29" s="22" t="s">
        <v>190</v>
      </c>
      <c r="D29" s="20">
        <f>VLOOKUP(PhasesTable[[#This Row],[CIP '#]],ProjectsTable[[CIP '#]:[Project Classification 3]],5,FALSE)</f>
        <v>361</v>
      </c>
      <c r="E29" s="20">
        <f>VLOOKUP(PhasesTable[[#This Row],[CIP '#]],ProjectsTable[[CIP '#]:[Project Classification 3]],6,FALSE)</f>
        <v>361001</v>
      </c>
      <c r="F29" s="24" t="s">
        <v>119</v>
      </c>
      <c r="G29" s="23" t="str">
        <f>VLOOKUP(PhasesTable[[#This Row],[CIP '#]],ProjectsTable[[CIP '#]:[Project Classification 3]],8,FALSE)</f>
        <v>Centralized Services</v>
      </c>
      <c r="H29" s="24" t="str">
        <f>VLOOKUP(PhasesTable[[#This Row],[CIP '#]],ProjectsTable[[CIP '#]:[Project Classification 3]],9,FALSE)</f>
        <v>Engineering</v>
      </c>
      <c r="I29" s="24" t="str">
        <f>VLOOKUP(PhasesTable[[#This Row],[CIP '#]],ProjectsTable[[CIP '#]:[Project Classification 3]],10,FALSE)</f>
        <v>General Purpose</v>
      </c>
      <c r="J29" s="23" t="s">
        <v>225</v>
      </c>
      <c r="K29" s="24" t="s">
        <v>320</v>
      </c>
      <c r="L29" s="23" t="s">
        <v>211</v>
      </c>
      <c r="M29" s="45">
        <v>41419</v>
      </c>
      <c r="N29" s="45">
        <v>42512</v>
      </c>
      <c r="O29" s="136">
        <v>2.972728</v>
      </c>
      <c r="P29" s="117">
        <v>328</v>
      </c>
      <c r="Q29" s="118">
        <v>0</v>
      </c>
      <c r="R29" s="119">
        <v>0</v>
      </c>
      <c r="S29" s="119">
        <v>0</v>
      </c>
      <c r="T29" s="119">
        <v>0</v>
      </c>
      <c r="U29" s="120">
        <v>0</v>
      </c>
      <c r="V29" s="117">
        <v>0</v>
      </c>
      <c r="W29" s="121">
        <f>SUM(Q29:U29)</f>
        <v>0</v>
      </c>
      <c r="X29" s="122">
        <f>SUM(O29:V29)</f>
        <v>330.97272800000002</v>
      </c>
      <c r="Y29" s="26" t="s">
        <v>338</v>
      </c>
      <c r="Z29" s="36" t="s">
        <v>288</v>
      </c>
      <c r="AA29" s="28" t="s">
        <v>335</v>
      </c>
      <c r="AB29" s="48"/>
    </row>
    <row r="30" spans="1:28" s="18" customFormat="1" ht="30" customHeight="1" x14ac:dyDescent="0.45">
      <c r="A30" s="9">
        <v>86</v>
      </c>
      <c r="B30" s="10">
        <v>1153</v>
      </c>
      <c r="C30" s="11" t="s">
        <v>190</v>
      </c>
      <c r="D30" s="9">
        <f>VLOOKUP(PhasesTable[[#This Row],[CIP '#]],ProjectsTable[[CIP '#]:[Project Classification 3]],5,FALSE)</f>
        <v>361</v>
      </c>
      <c r="E30" s="9">
        <f>VLOOKUP(PhasesTable[[#This Row],[CIP '#]],ProjectsTable[[CIP '#]:[Project Classification 3]],6,FALSE)</f>
        <v>361001</v>
      </c>
      <c r="F30" s="12" t="s">
        <v>24</v>
      </c>
      <c r="G30" s="13" t="str">
        <f>VLOOKUP(PhasesTable[[#This Row],[CIP '#]],ProjectsTable[[CIP '#]:[Project Classification 3]],8,FALSE)</f>
        <v>Centralized Services</v>
      </c>
      <c r="H30" s="12" t="str">
        <f>VLOOKUP(PhasesTable[[#This Row],[CIP '#]],ProjectsTable[[CIP '#]:[Project Classification 3]],9,FALSE)</f>
        <v>Engineering</v>
      </c>
      <c r="I30" s="12" t="str">
        <f>VLOOKUP(PhasesTable[[#This Row],[CIP '#]],ProjectsTable[[CIP '#]:[Project Classification 3]],10,FALSE)</f>
        <v>General Purpose</v>
      </c>
      <c r="J30" s="13" t="s">
        <v>225</v>
      </c>
      <c r="K30" s="12" t="s">
        <v>245</v>
      </c>
      <c r="L30" s="13" t="s">
        <v>211</v>
      </c>
      <c r="M30" s="14">
        <v>41419</v>
      </c>
      <c r="N30" s="14">
        <v>42515</v>
      </c>
      <c r="O30" s="110">
        <v>3925.1535099999996</v>
      </c>
      <c r="P30" s="111">
        <v>312</v>
      </c>
      <c r="Q30" s="112">
        <v>0</v>
      </c>
      <c r="R30" s="113">
        <v>0</v>
      </c>
      <c r="S30" s="113">
        <v>0</v>
      </c>
      <c r="T30" s="113">
        <v>0</v>
      </c>
      <c r="U30" s="114">
        <v>0</v>
      </c>
      <c r="V30" s="111">
        <v>0</v>
      </c>
      <c r="W30" s="115">
        <f>SUM(Q30:U30)</f>
        <v>0</v>
      </c>
      <c r="X30" s="116">
        <f>SUM(O30:V30)</f>
        <v>4237.1535100000001</v>
      </c>
      <c r="Y30" s="15" t="s">
        <v>339</v>
      </c>
      <c r="Z30" s="47" t="s">
        <v>288</v>
      </c>
      <c r="AA30" s="17" t="s">
        <v>335</v>
      </c>
    </row>
    <row r="31" spans="1:28" s="19" customFormat="1" ht="30" customHeight="1" x14ac:dyDescent="0.45">
      <c r="A31" s="9">
        <v>87</v>
      </c>
      <c r="B31" s="10">
        <v>1164</v>
      </c>
      <c r="C31" s="11" t="s">
        <v>191</v>
      </c>
      <c r="D31" s="9">
        <f>VLOOKUP(PhasesTable[[#This Row],[CIP '#]],ProjectsTable[[CIP '#]:[Project Classification 3]],5,FALSE)</f>
        <v>3808</v>
      </c>
      <c r="E31" s="9">
        <f>VLOOKUP(PhasesTable[[#This Row],[CIP '#]],ProjectsTable[[CIP '#]:[Project Classification 3]],6,FALSE)</f>
        <v>380800</v>
      </c>
      <c r="F31" s="12" t="s">
        <v>24</v>
      </c>
      <c r="G31" s="13" t="str">
        <f>VLOOKUP(PhasesTable[[#This Row],[CIP '#]],ProjectsTable[[CIP '#]:[Project Classification 3]],8,FALSE)</f>
        <v>Centralized Services</v>
      </c>
      <c r="H31" s="12" t="str">
        <f>VLOOKUP(PhasesTable[[#This Row],[CIP '#]],ProjectsTable[[CIP '#]:[Project Classification 3]],9,FALSE)</f>
        <v>Programs</v>
      </c>
      <c r="I31" s="12" t="str">
        <f>VLOOKUP(PhasesTable[[#This Row],[CIP '#]],ProjectsTable[[CIP '#]:[Project Classification 3]],10,FALSE)</f>
        <v>Programs</v>
      </c>
      <c r="J31" s="13" t="s">
        <v>206</v>
      </c>
      <c r="K31" s="12" t="s">
        <v>246</v>
      </c>
      <c r="L31" s="13" t="s">
        <v>211</v>
      </c>
      <c r="M31" s="14">
        <v>40192</v>
      </c>
      <c r="N31" s="14">
        <v>42565</v>
      </c>
      <c r="O31" s="110">
        <v>2441.2501649999999</v>
      </c>
      <c r="P31" s="111">
        <v>132</v>
      </c>
      <c r="Q31" s="112">
        <v>0</v>
      </c>
      <c r="R31" s="113">
        <v>0</v>
      </c>
      <c r="S31" s="113">
        <v>0</v>
      </c>
      <c r="T31" s="113">
        <v>0</v>
      </c>
      <c r="U31" s="114">
        <v>0</v>
      </c>
      <c r="V31" s="111">
        <v>0</v>
      </c>
      <c r="W31" s="115">
        <f>SUM(Q31:U31)</f>
        <v>0</v>
      </c>
      <c r="X31" s="116">
        <f>SUM(O31:V31)</f>
        <v>2573.2501649999999</v>
      </c>
      <c r="Y31" s="15" t="s">
        <v>338</v>
      </c>
      <c r="Z31" s="47" t="s">
        <v>287</v>
      </c>
      <c r="AA31" s="17" t="s">
        <v>335</v>
      </c>
      <c r="AB31" s="18"/>
    </row>
    <row r="32" spans="1:28" s="19" customFormat="1" ht="30" customHeight="1" x14ac:dyDescent="0.45">
      <c r="A32" s="9">
        <v>33</v>
      </c>
      <c r="B32" s="10">
        <v>1166</v>
      </c>
      <c r="C32" s="11" t="s">
        <v>62</v>
      </c>
      <c r="D32" s="9">
        <f>VLOOKUP(PhasesTable[[#This Row],[CIP '#]],ProjectsTable[[CIP '#]:[Project Classification 3]],5,FALSE)</f>
        <v>115</v>
      </c>
      <c r="E32" s="9">
        <f>VLOOKUP(PhasesTable[[#This Row],[CIP '#]],ProjectsTable[[CIP '#]:[Project Classification 3]],6,FALSE)</f>
        <v>115001</v>
      </c>
      <c r="F32" s="12" t="s">
        <v>24</v>
      </c>
      <c r="G32" s="13" t="str">
        <f>VLOOKUP(PhasesTable[[#This Row],[CIP '#]],ProjectsTable[[CIP '#]:[Project Classification 3]],8,FALSE)</f>
        <v>Water</v>
      </c>
      <c r="H32" s="12" t="str">
        <f>VLOOKUP(PhasesTable[[#This Row],[CIP '#]],ProjectsTable[[CIP '#]:[Project Classification 3]],9,FALSE)</f>
        <v>Treatment Plants &amp; Facilities</v>
      </c>
      <c r="I32" s="13" t="str">
        <f>VLOOKUP(PhasesTable[[#This Row],[CIP '#]],ProjectsTable[[CIP '#]:[Project Classification 3]],10,FALSE)</f>
        <v>Water Works Park</v>
      </c>
      <c r="J32" s="13" t="s">
        <v>208</v>
      </c>
      <c r="K32" s="12" t="s">
        <v>27</v>
      </c>
      <c r="L32" s="13" t="s">
        <v>200</v>
      </c>
      <c r="M32" s="14" t="s">
        <v>27</v>
      </c>
      <c r="N32" s="14" t="s">
        <v>27</v>
      </c>
      <c r="O32" s="110">
        <v>0</v>
      </c>
      <c r="P32" s="111">
        <v>0</v>
      </c>
      <c r="Q32" s="112">
        <v>5500</v>
      </c>
      <c r="R32" s="113">
        <v>27900</v>
      </c>
      <c r="S32" s="113">
        <v>20500</v>
      </c>
      <c r="T32" s="113">
        <v>0</v>
      </c>
      <c r="U32" s="114">
        <v>0</v>
      </c>
      <c r="V32" s="111">
        <v>0</v>
      </c>
      <c r="W32" s="115">
        <f>SUM(Q32:U32)</f>
        <v>53900</v>
      </c>
      <c r="X32" s="116">
        <f>SUM(O32:V32)</f>
        <v>53900</v>
      </c>
      <c r="Y32" s="15" t="s">
        <v>338</v>
      </c>
      <c r="Z32" s="16" t="s">
        <v>288</v>
      </c>
      <c r="AA32" s="17" t="s">
        <v>335</v>
      </c>
      <c r="AB32" s="48"/>
    </row>
    <row r="33" spans="1:28" s="56" customFormat="1" ht="30" customHeight="1" x14ac:dyDescent="0.45">
      <c r="A33" s="9">
        <v>60</v>
      </c>
      <c r="B33" s="10">
        <v>1170</v>
      </c>
      <c r="C33" s="11" t="s">
        <v>99</v>
      </c>
      <c r="D33" s="9">
        <f>VLOOKUP(PhasesTable[[#This Row],[CIP '#]],ProjectsTable[[CIP '#]:[Project Classification 3]],5,FALSE)</f>
        <v>1707</v>
      </c>
      <c r="E33" s="9">
        <f>VLOOKUP(PhasesTable[[#This Row],[CIP '#]],ProjectsTable[[CIP '#]:[Project Classification 3]],6,FALSE)</f>
        <v>170700</v>
      </c>
      <c r="F33" s="12" t="s">
        <v>24</v>
      </c>
      <c r="G33" s="13" t="str">
        <f>VLOOKUP(PhasesTable[[#This Row],[CIP '#]],ProjectsTable[[CIP '#]:[Project Classification 3]],8,FALSE)</f>
        <v>Water</v>
      </c>
      <c r="H33" s="12" t="str">
        <f>VLOOKUP(PhasesTable[[#This Row],[CIP '#]],ProjectsTable[[CIP '#]:[Project Classification 3]],9,FALSE)</f>
        <v>Programs</v>
      </c>
      <c r="I33" s="13" t="str">
        <f>VLOOKUP(PhasesTable[[#This Row],[CIP '#]],ProjectsTable[[CIP '#]:[Project Classification 3]],10,FALSE)</f>
        <v>Programs</v>
      </c>
      <c r="J33" s="13" t="s">
        <v>234</v>
      </c>
      <c r="K33" s="12" t="s">
        <v>235</v>
      </c>
      <c r="L33" s="13" t="s">
        <v>211</v>
      </c>
      <c r="M33" s="14">
        <v>41458</v>
      </c>
      <c r="N33" s="14">
        <v>43768</v>
      </c>
      <c r="O33" s="110">
        <v>9570.8839499999995</v>
      </c>
      <c r="P33" s="111">
        <v>2316</v>
      </c>
      <c r="Q33" s="112">
        <v>88</v>
      </c>
      <c r="R33" s="113">
        <v>0</v>
      </c>
      <c r="S33" s="113">
        <v>0</v>
      </c>
      <c r="T33" s="113">
        <v>0</v>
      </c>
      <c r="U33" s="114">
        <v>0</v>
      </c>
      <c r="V33" s="111">
        <v>0</v>
      </c>
      <c r="W33" s="115">
        <f>SUM(Q33:U33)</f>
        <v>88</v>
      </c>
      <c r="X33" s="116">
        <f>SUM(O33:V33)</f>
        <v>11974.883949999999</v>
      </c>
      <c r="Y33" s="15" t="s">
        <v>338</v>
      </c>
      <c r="Z33" s="47" t="s">
        <v>288</v>
      </c>
      <c r="AA33" s="17" t="s">
        <v>335</v>
      </c>
    </row>
    <row r="34" spans="1:28" s="19" customFormat="1" ht="30" customHeight="1" x14ac:dyDescent="0.45">
      <c r="A34" s="9">
        <v>88</v>
      </c>
      <c r="B34" s="10">
        <v>1182</v>
      </c>
      <c r="C34" s="11" t="s">
        <v>188</v>
      </c>
      <c r="D34" s="9">
        <f>VLOOKUP(PhasesTable[[#This Row],[CIP '#]],ProjectsTable[[CIP '#]:[Project Classification 3]],5,FALSE)</f>
        <v>3809</v>
      </c>
      <c r="E34" s="9">
        <f>VLOOKUP(PhasesTable[[#This Row],[CIP '#]],ProjectsTable[[CIP '#]:[Project Classification 3]],6,FALSE)</f>
        <v>380900</v>
      </c>
      <c r="F34" s="12" t="s">
        <v>24</v>
      </c>
      <c r="G34" s="13" t="str">
        <f>VLOOKUP(PhasesTable[[#This Row],[CIP '#]],ProjectsTable[[CIP '#]:[Project Classification 3]],8,FALSE)</f>
        <v>Centralized Services</v>
      </c>
      <c r="H34" s="12" t="str">
        <f>VLOOKUP(PhasesTable[[#This Row],[CIP '#]],ProjectsTable[[CIP '#]:[Project Classification 3]],9,FALSE)</f>
        <v>Programs</v>
      </c>
      <c r="I34" s="12" t="str">
        <f>VLOOKUP(PhasesTable[[#This Row],[CIP '#]],ProjectsTable[[CIP '#]:[Project Classification 3]],10,FALSE)</f>
        <v>Programs</v>
      </c>
      <c r="J34" s="13" t="s">
        <v>206</v>
      </c>
      <c r="K34" s="12" t="s">
        <v>247</v>
      </c>
      <c r="L34" s="13" t="s">
        <v>214</v>
      </c>
      <c r="M34" s="14">
        <v>39534</v>
      </c>
      <c r="N34" s="14">
        <v>43186</v>
      </c>
      <c r="O34" s="110">
        <v>0</v>
      </c>
      <c r="P34" s="111">
        <v>741</v>
      </c>
      <c r="Q34" s="112">
        <v>772</v>
      </c>
      <c r="R34" s="113">
        <v>0</v>
      </c>
      <c r="S34" s="113">
        <v>0</v>
      </c>
      <c r="T34" s="113">
        <v>0</v>
      </c>
      <c r="U34" s="114">
        <v>0</v>
      </c>
      <c r="V34" s="111">
        <v>0</v>
      </c>
      <c r="W34" s="115">
        <f>SUM(Q34:U34)</f>
        <v>772</v>
      </c>
      <c r="X34" s="116">
        <f>SUM(O34:V34)</f>
        <v>1513</v>
      </c>
      <c r="Y34" s="15" t="s">
        <v>338</v>
      </c>
      <c r="Z34" s="47" t="s">
        <v>287</v>
      </c>
      <c r="AA34" s="17" t="s">
        <v>335</v>
      </c>
    </row>
    <row r="35" spans="1:28" s="18" customFormat="1" ht="30" customHeight="1" x14ac:dyDescent="0.45">
      <c r="A35" s="20">
        <v>198</v>
      </c>
      <c r="B35" s="21">
        <v>1182</v>
      </c>
      <c r="C35" s="22" t="s">
        <v>188</v>
      </c>
      <c r="D35" s="20">
        <f>VLOOKUP(PhasesTable[[#This Row],[CIP '#]],ProjectsTable[[CIP '#]:[Project Classification 3]],5,FALSE)</f>
        <v>3809</v>
      </c>
      <c r="E35" s="20">
        <f>VLOOKUP(PhasesTable[[#This Row],[CIP '#]],ProjectsTable[[CIP '#]:[Project Classification 3]],6,FALSE)</f>
        <v>380900</v>
      </c>
      <c r="F35" s="24" t="s">
        <v>119</v>
      </c>
      <c r="G35" s="23" t="str">
        <f>VLOOKUP(PhasesTable[[#This Row],[CIP '#]],ProjectsTable[[CIP '#]:[Project Classification 3]],8,FALSE)</f>
        <v>Centralized Services</v>
      </c>
      <c r="H35" s="24" t="str">
        <f>VLOOKUP(PhasesTable[[#This Row],[CIP '#]],ProjectsTable[[CIP '#]:[Project Classification 3]],9,FALSE)</f>
        <v>Programs</v>
      </c>
      <c r="I35" s="24" t="str">
        <f>VLOOKUP(PhasesTable[[#This Row],[CIP '#]],ProjectsTable[[CIP '#]:[Project Classification 3]],10,FALSE)</f>
        <v>Programs</v>
      </c>
      <c r="J35" s="23" t="s">
        <v>206</v>
      </c>
      <c r="K35" s="24" t="s">
        <v>247</v>
      </c>
      <c r="L35" s="23" t="s">
        <v>214</v>
      </c>
      <c r="M35" s="45">
        <v>39534</v>
      </c>
      <c r="N35" s="45">
        <v>43186</v>
      </c>
      <c r="O35" s="136">
        <v>28.05491</v>
      </c>
      <c r="P35" s="117">
        <v>509</v>
      </c>
      <c r="Q35" s="118">
        <v>382</v>
      </c>
      <c r="R35" s="119">
        <v>0</v>
      </c>
      <c r="S35" s="119">
        <v>0</v>
      </c>
      <c r="T35" s="119">
        <v>0</v>
      </c>
      <c r="U35" s="120">
        <v>0</v>
      </c>
      <c r="V35" s="117">
        <v>0</v>
      </c>
      <c r="W35" s="121">
        <f>SUM(Q35:U35)</f>
        <v>382</v>
      </c>
      <c r="X35" s="122">
        <f>SUM(O35:V35)</f>
        <v>919.05490999999995</v>
      </c>
      <c r="Y35" s="26" t="s">
        <v>338</v>
      </c>
      <c r="Z35" s="36" t="s">
        <v>287</v>
      </c>
      <c r="AA35" s="28" t="s">
        <v>335</v>
      </c>
    </row>
    <row r="36" spans="1:28" s="18" customFormat="1" ht="30" customHeight="1" x14ac:dyDescent="0.45">
      <c r="A36" s="20">
        <v>97</v>
      </c>
      <c r="B36" s="21">
        <v>1189</v>
      </c>
      <c r="C36" s="22" t="s">
        <v>126</v>
      </c>
      <c r="D36" s="20">
        <f>VLOOKUP(PhasesTable[[#This Row],[CIP '#]],ProjectsTable[[CIP '#]:[Project Classification 3]],5,FALSE)</f>
        <v>211</v>
      </c>
      <c r="E36" s="20">
        <f>VLOOKUP(PhasesTable[[#This Row],[CIP '#]],ProjectsTable[[CIP '#]:[Project Classification 3]],6,FALSE)</f>
        <v>211004</v>
      </c>
      <c r="F36" s="23" t="s">
        <v>119</v>
      </c>
      <c r="G36" s="23" t="str">
        <f>VLOOKUP(PhasesTable[[#This Row],[CIP '#]],ProjectsTable[[CIP '#]:[Project Classification 3]],8,FALSE)</f>
        <v>Wastewater</v>
      </c>
      <c r="H36" s="24" t="str">
        <f>VLOOKUP(PhasesTable[[#This Row],[CIP '#]],ProjectsTable[[CIP '#]:[Project Classification 3]],9,FALSE)</f>
        <v>WRRF</v>
      </c>
      <c r="I36" s="24" t="str">
        <f>VLOOKUP(PhasesTable[[#This Row],[CIP '#]],ProjectsTable[[CIP '#]:[Project Classification 3]],10,FALSE)</f>
        <v>Primary Treatment</v>
      </c>
      <c r="J36" s="23" t="s">
        <v>201</v>
      </c>
      <c r="K36" s="55" t="s">
        <v>254</v>
      </c>
      <c r="L36" s="23" t="s">
        <v>214</v>
      </c>
      <c r="M36" s="25">
        <v>41596</v>
      </c>
      <c r="N36" s="25">
        <v>42946</v>
      </c>
      <c r="O36" s="117">
        <v>13886.815869999999</v>
      </c>
      <c r="P36" s="117">
        <v>2303</v>
      </c>
      <c r="Q36" s="118">
        <v>2652</v>
      </c>
      <c r="R36" s="119">
        <v>2652</v>
      </c>
      <c r="S36" s="119">
        <v>0</v>
      </c>
      <c r="T36" s="119">
        <v>0</v>
      </c>
      <c r="U36" s="120">
        <v>0</v>
      </c>
      <c r="V36" s="117">
        <v>0</v>
      </c>
      <c r="W36" s="121">
        <f>SUM(Q36:U36)</f>
        <v>5304</v>
      </c>
      <c r="X36" s="122">
        <f>SUM(O36:V36)</f>
        <v>21493.815869999999</v>
      </c>
      <c r="Y36" s="26" t="s">
        <v>338</v>
      </c>
      <c r="Z36" s="36" t="s">
        <v>288</v>
      </c>
      <c r="AA36" s="28" t="s">
        <v>335</v>
      </c>
    </row>
    <row r="37" spans="1:28" s="18" customFormat="1" ht="30" customHeight="1" x14ac:dyDescent="0.45">
      <c r="A37" s="29">
        <v>108</v>
      </c>
      <c r="B37" s="30">
        <v>1194</v>
      </c>
      <c r="C37" s="31" t="s">
        <v>135</v>
      </c>
      <c r="D37" s="29">
        <f>VLOOKUP(PhasesTable[[#This Row],[CIP '#]],ProjectsTable[[CIP '#]:[Project Classification 3]],5,FALSE)</f>
        <v>212</v>
      </c>
      <c r="E37" s="29">
        <f>VLOOKUP(PhasesTable[[#This Row],[CIP '#]],ProjectsTable[[CIP '#]:[Project Classification 3]],6,FALSE)</f>
        <v>212003</v>
      </c>
      <c r="F37" s="32" t="s">
        <v>119</v>
      </c>
      <c r="G37" s="23" t="str">
        <f>VLOOKUP(PhasesTable[[#This Row],[CIP '#]],ProjectsTable[[CIP '#]:[Project Classification 3]],8,FALSE)</f>
        <v>Wastewater</v>
      </c>
      <c r="H37" s="24" t="str">
        <f>VLOOKUP(PhasesTable[[#This Row],[CIP '#]],ProjectsTable[[CIP '#]:[Project Classification 3]],9,FALSE)</f>
        <v>WRRF</v>
      </c>
      <c r="I37" s="33" t="str">
        <f>VLOOKUP(PhasesTable[[#This Row],[CIP '#]],ProjectsTable[[CIP '#]:[Project Classification 3]],10,FALSE)</f>
        <v>Secondary Treatment &amp; Disinfection</v>
      </c>
      <c r="J37" s="32" t="s">
        <v>201</v>
      </c>
      <c r="K37" s="29" t="s">
        <v>256</v>
      </c>
      <c r="L37" s="32" t="s">
        <v>222</v>
      </c>
      <c r="M37" s="35" t="s">
        <v>30</v>
      </c>
      <c r="N37" s="35" t="s">
        <v>30</v>
      </c>
      <c r="O37" s="123">
        <v>0</v>
      </c>
      <c r="P37" s="123">
        <v>2242</v>
      </c>
      <c r="Q37" s="124">
        <v>11100</v>
      </c>
      <c r="R37" s="125">
        <v>2642</v>
      </c>
      <c r="S37" s="125">
        <v>0</v>
      </c>
      <c r="T37" s="125">
        <v>0</v>
      </c>
      <c r="U37" s="126">
        <v>0</v>
      </c>
      <c r="V37" s="123">
        <v>0</v>
      </c>
      <c r="W37" s="127">
        <f>SUM(Q37:U37)</f>
        <v>13742</v>
      </c>
      <c r="X37" s="128">
        <f>SUM(O37:V37)</f>
        <v>15984</v>
      </c>
      <c r="Y37" s="26" t="s">
        <v>338</v>
      </c>
      <c r="Z37" s="27" t="s">
        <v>290</v>
      </c>
      <c r="AA37" s="28" t="s">
        <v>335</v>
      </c>
    </row>
    <row r="38" spans="1:28" s="18" customFormat="1" ht="30" customHeight="1" x14ac:dyDescent="0.45">
      <c r="A38" s="29">
        <v>109</v>
      </c>
      <c r="B38" s="30">
        <v>1194</v>
      </c>
      <c r="C38" s="31" t="s">
        <v>135</v>
      </c>
      <c r="D38" s="29">
        <f>VLOOKUP(PhasesTable[[#This Row],[CIP '#]],ProjectsTable[[CIP '#]:[Project Classification 3]],5,FALSE)</f>
        <v>212</v>
      </c>
      <c r="E38" s="29">
        <f>VLOOKUP(PhasesTable[[#This Row],[CIP '#]],ProjectsTable[[CIP '#]:[Project Classification 3]],6,FALSE)</f>
        <v>212003</v>
      </c>
      <c r="F38" s="32" t="s">
        <v>119</v>
      </c>
      <c r="G38" s="23" t="str">
        <f>VLOOKUP(PhasesTable[[#This Row],[CIP '#]],ProjectsTable[[CIP '#]:[Project Classification 3]],8,FALSE)</f>
        <v>Wastewater</v>
      </c>
      <c r="H38" s="24" t="str">
        <f>VLOOKUP(PhasesTable[[#This Row],[CIP '#]],ProjectsTable[[CIP '#]:[Project Classification 3]],9,FALSE)</f>
        <v>WRRF</v>
      </c>
      <c r="I38" s="33" t="str">
        <f>VLOOKUP(PhasesTable[[#This Row],[CIP '#]],ProjectsTable[[CIP '#]:[Project Classification 3]],10,FALSE)</f>
        <v>Secondary Treatment &amp; Disinfection</v>
      </c>
      <c r="J38" s="32" t="s">
        <v>215</v>
      </c>
      <c r="K38" s="34" t="s">
        <v>257</v>
      </c>
      <c r="L38" s="32" t="s">
        <v>214</v>
      </c>
      <c r="M38" s="35">
        <v>40960</v>
      </c>
      <c r="N38" s="35">
        <v>43159</v>
      </c>
      <c r="O38" s="123">
        <v>0</v>
      </c>
      <c r="P38" s="123">
        <v>106</v>
      </c>
      <c r="Q38" s="124">
        <v>97</v>
      </c>
      <c r="R38" s="125">
        <v>16</v>
      </c>
      <c r="S38" s="125">
        <v>0</v>
      </c>
      <c r="T38" s="125">
        <v>0</v>
      </c>
      <c r="U38" s="126">
        <v>0</v>
      </c>
      <c r="V38" s="123">
        <v>0</v>
      </c>
      <c r="W38" s="127">
        <f>SUM(Q38:U38)</f>
        <v>113</v>
      </c>
      <c r="X38" s="128">
        <f>SUM(O38:V38)</f>
        <v>219</v>
      </c>
      <c r="Y38" s="26" t="s">
        <v>338</v>
      </c>
      <c r="Z38" s="36" t="s">
        <v>290</v>
      </c>
      <c r="AA38" s="28" t="s">
        <v>335</v>
      </c>
    </row>
    <row r="39" spans="1:28" s="44" customFormat="1" ht="30" customHeight="1" x14ac:dyDescent="0.45">
      <c r="A39" s="9">
        <v>89</v>
      </c>
      <c r="B39" s="10">
        <v>1206</v>
      </c>
      <c r="C39" s="11" t="s">
        <v>192</v>
      </c>
      <c r="D39" s="9">
        <f>VLOOKUP(PhasesTable[[#This Row],[CIP '#]],ProjectsTable[[CIP '#]:[Project Classification 3]],5,FALSE)</f>
        <v>361</v>
      </c>
      <c r="E39" s="9">
        <f>VLOOKUP(PhasesTable[[#This Row],[CIP '#]],ProjectsTable[[CIP '#]:[Project Classification 3]],6,FALSE)</f>
        <v>361002</v>
      </c>
      <c r="F39" s="12" t="s">
        <v>24</v>
      </c>
      <c r="G39" s="13" t="str">
        <f>VLOOKUP(PhasesTable[[#This Row],[CIP '#]],ProjectsTable[[CIP '#]:[Project Classification 3]],8,FALSE)</f>
        <v>Centralized Services</v>
      </c>
      <c r="H39" s="12" t="str">
        <f>VLOOKUP(PhasesTable[[#This Row],[CIP '#]],ProjectsTable[[CIP '#]:[Project Classification 3]],9,FALSE)</f>
        <v>Engineering</v>
      </c>
      <c r="I39" s="12" t="str">
        <f>VLOOKUP(PhasesTable[[#This Row],[CIP '#]],ProjectsTable[[CIP '#]:[Project Classification 3]],10,FALSE)</f>
        <v>General Purpose</v>
      </c>
      <c r="J39" s="13" t="s">
        <v>225</v>
      </c>
      <c r="K39" s="12" t="s">
        <v>248</v>
      </c>
      <c r="L39" s="13" t="s">
        <v>211</v>
      </c>
      <c r="M39" s="14">
        <v>41303</v>
      </c>
      <c r="N39" s="14">
        <v>42427</v>
      </c>
      <c r="O39" s="110">
        <v>2845.759</v>
      </c>
      <c r="P39" s="111">
        <v>5</v>
      </c>
      <c r="Q39" s="112">
        <v>0</v>
      </c>
      <c r="R39" s="113">
        <v>0</v>
      </c>
      <c r="S39" s="113">
        <v>0</v>
      </c>
      <c r="T39" s="113">
        <v>0</v>
      </c>
      <c r="U39" s="114">
        <v>0</v>
      </c>
      <c r="V39" s="111">
        <v>0</v>
      </c>
      <c r="W39" s="115">
        <f>SUM(Q39:U39)</f>
        <v>0</v>
      </c>
      <c r="X39" s="116">
        <f>SUM(O39:V39)</f>
        <v>2850.759</v>
      </c>
      <c r="Y39" s="15" t="s">
        <v>339</v>
      </c>
      <c r="Z39" s="47" t="s">
        <v>288</v>
      </c>
      <c r="AA39" s="17" t="s">
        <v>335</v>
      </c>
      <c r="AB39" s="43"/>
    </row>
    <row r="40" spans="1:28" s="43" customFormat="1" ht="30" customHeight="1" x14ac:dyDescent="0.45">
      <c r="A40" s="20">
        <v>199</v>
      </c>
      <c r="B40" s="21">
        <v>1206</v>
      </c>
      <c r="C40" s="22" t="s">
        <v>192</v>
      </c>
      <c r="D40" s="20">
        <f>VLOOKUP(PhasesTable[[#This Row],[CIP '#]],ProjectsTable[[CIP '#]:[Project Classification 3]],5,FALSE)</f>
        <v>361</v>
      </c>
      <c r="E40" s="20">
        <f>VLOOKUP(PhasesTable[[#This Row],[CIP '#]],ProjectsTable[[CIP '#]:[Project Classification 3]],6,FALSE)</f>
        <v>361002</v>
      </c>
      <c r="F40" s="24" t="s">
        <v>119</v>
      </c>
      <c r="G40" s="23" t="str">
        <f>VLOOKUP(PhasesTable[[#This Row],[CIP '#]],ProjectsTable[[CIP '#]:[Project Classification 3]],8,FALSE)</f>
        <v>Centralized Services</v>
      </c>
      <c r="H40" s="24" t="str">
        <f>VLOOKUP(PhasesTable[[#This Row],[CIP '#]],ProjectsTable[[CIP '#]:[Project Classification 3]],9,FALSE)</f>
        <v>Engineering</v>
      </c>
      <c r="I40" s="24" t="str">
        <f>VLOOKUP(PhasesTable[[#This Row],[CIP '#]],ProjectsTable[[CIP '#]:[Project Classification 3]],10,FALSE)</f>
        <v>General Purpose</v>
      </c>
      <c r="J40" s="23" t="s">
        <v>225</v>
      </c>
      <c r="K40" s="24" t="s">
        <v>248</v>
      </c>
      <c r="L40" s="23" t="s">
        <v>211</v>
      </c>
      <c r="M40" s="45">
        <v>41303</v>
      </c>
      <c r="N40" s="45">
        <v>42427</v>
      </c>
      <c r="O40" s="136">
        <v>3157.5981349999997</v>
      </c>
      <c r="P40" s="117">
        <v>5</v>
      </c>
      <c r="Q40" s="118">
        <v>0</v>
      </c>
      <c r="R40" s="119">
        <v>0</v>
      </c>
      <c r="S40" s="119">
        <v>0</v>
      </c>
      <c r="T40" s="119">
        <v>0</v>
      </c>
      <c r="U40" s="120">
        <v>0</v>
      </c>
      <c r="V40" s="117">
        <v>0</v>
      </c>
      <c r="W40" s="121">
        <f>SUM(Q40:U40)</f>
        <v>0</v>
      </c>
      <c r="X40" s="122">
        <f>SUM(O40:V40)</f>
        <v>3162.5981349999997</v>
      </c>
      <c r="Y40" s="26" t="s">
        <v>339</v>
      </c>
      <c r="Z40" s="36" t="s">
        <v>288</v>
      </c>
      <c r="AA40" s="28" t="s">
        <v>335</v>
      </c>
    </row>
    <row r="41" spans="1:28" s="19" customFormat="1" ht="30" customHeight="1" x14ac:dyDescent="0.45">
      <c r="A41" s="9">
        <v>90</v>
      </c>
      <c r="B41" s="10">
        <v>1207</v>
      </c>
      <c r="C41" s="11" t="s">
        <v>193</v>
      </c>
      <c r="D41" s="9">
        <f>VLOOKUP(PhasesTable[[#This Row],[CIP '#]],ProjectsTable[[CIP '#]:[Project Classification 3]],5,FALSE)</f>
        <v>361</v>
      </c>
      <c r="E41" s="9">
        <f>VLOOKUP(PhasesTable[[#This Row],[CIP '#]],ProjectsTable[[CIP '#]:[Project Classification 3]],6,FALSE)</f>
        <v>361003</v>
      </c>
      <c r="F41" s="12" t="s">
        <v>24</v>
      </c>
      <c r="G41" s="13" t="str">
        <f>VLOOKUP(PhasesTable[[#This Row],[CIP '#]],ProjectsTable[[CIP '#]:[Project Classification 3]],8,FALSE)</f>
        <v>Centralized Services</v>
      </c>
      <c r="H41" s="12" t="str">
        <f>VLOOKUP(PhasesTable[[#This Row],[CIP '#]],ProjectsTable[[CIP '#]:[Project Classification 3]],9,FALSE)</f>
        <v>Engineering</v>
      </c>
      <c r="I41" s="12" t="str">
        <f>VLOOKUP(PhasesTable[[#This Row],[CIP '#]],ProjectsTable[[CIP '#]:[Project Classification 3]],10,FALSE)</f>
        <v>General Purpose</v>
      </c>
      <c r="J41" s="13" t="s">
        <v>225</v>
      </c>
      <c r="K41" s="12" t="s">
        <v>249</v>
      </c>
      <c r="L41" s="13" t="s">
        <v>211</v>
      </c>
      <c r="M41" s="14">
        <v>41359</v>
      </c>
      <c r="N41" s="14">
        <v>42643</v>
      </c>
      <c r="O41" s="110">
        <v>3374.9140750000001</v>
      </c>
      <c r="P41" s="111">
        <v>109</v>
      </c>
      <c r="Q41" s="112">
        <v>0</v>
      </c>
      <c r="R41" s="113">
        <v>0</v>
      </c>
      <c r="S41" s="113">
        <v>0</v>
      </c>
      <c r="T41" s="113">
        <v>0</v>
      </c>
      <c r="U41" s="114">
        <v>0</v>
      </c>
      <c r="V41" s="111">
        <v>0</v>
      </c>
      <c r="W41" s="115">
        <f>SUM(Q41:U41)</f>
        <v>0</v>
      </c>
      <c r="X41" s="116">
        <f>SUM(O41:V41)</f>
        <v>3483.9140750000001</v>
      </c>
      <c r="Y41" s="15" t="s">
        <v>339</v>
      </c>
      <c r="Z41" s="47" t="s">
        <v>288</v>
      </c>
      <c r="AA41" s="17" t="s">
        <v>335</v>
      </c>
      <c r="AB41" s="18"/>
    </row>
    <row r="42" spans="1:28" s="18" customFormat="1" ht="30" customHeight="1" x14ac:dyDescent="0.45">
      <c r="A42" s="20">
        <v>200</v>
      </c>
      <c r="B42" s="21">
        <v>1207</v>
      </c>
      <c r="C42" s="22" t="s">
        <v>193</v>
      </c>
      <c r="D42" s="20">
        <f>VLOOKUP(PhasesTable[[#This Row],[CIP '#]],ProjectsTable[[CIP '#]:[Project Classification 3]],5,FALSE)</f>
        <v>361</v>
      </c>
      <c r="E42" s="20">
        <f>VLOOKUP(PhasesTable[[#This Row],[CIP '#]],ProjectsTable[[CIP '#]:[Project Classification 3]],6,FALSE)</f>
        <v>361003</v>
      </c>
      <c r="F42" s="24" t="s">
        <v>119</v>
      </c>
      <c r="G42" s="23" t="str">
        <f>VLOOKUP(PhasesTable[[#This Row],[CIP '#]],ProjectsTable[[CIP '#]:[Project Classification 3]],8,FALSE)</f>
        <v>Centralized Services</v>
      </c>
      <c r="H42" s="24" t="str">
        <f>VLOOKUP(PhasesTable[[#This Row],[CIP '#]],ProjectsTable[[CIP '#]:[Project Classification 3]],9,FALSE)</f>
        <v>Engineering</v>
      </c>
      <c r="I42" s="24" t="str">
        <f>VLOOKUP(PhasesTable[[#This Row],[CIP '#]],ProjectsTable[[CIP '#]:[Project Classification 3]],10,FALSE)</f>
        <v>General Purpose</v>
      </c>
      <c r="J42" s="23" t="s">
        <v>225</v>
      </c>
      <c r="K42" s="24" t="s">
        <v>249</v>
      </c>
      <c r="L42" s="23" t="s">
        <v>211</v>
      </c>
      <c r="M42" s="45">
        <v>41359</v>
      </c>
      <c r="N42" s="45">
        <v>42643</v>
      </c>
      <c r="O42" s="136">
        <v>2845.759</v>
      </c>
      <c r="P42" s="117">
        <v>109</v>
      </c>
      <c r="Q42" s="118">
        <v>0</v>
      </c>
      <c r="R42" s="119">
        <v>0</v>
      </c>
      <c r="S42" s="119">
        <v>0</v>
      </c>
      <c r="T42" s="119">
        <v>0</v>
      </c>
      <c r="U42" s="120">
        <v>0</v>
      </c>
      <c r="V42" s="117">
        <v>0</v>
      </c>
      <c r="W42" s="121">
        <f>SUM(Q42:U42)</f>
        <v>0</v>
      </c>
      <c r="X42" s="122">
        <f>SUM(O42:V42)</f>
        <v>2954.759</v>
      </c>
      <c r="Y42" s="26" t="s">
        <v>338</v>
      </c>
      <c r="Z42" s="36" t="s">
        <v>288</v>
      </c>
      <c r="AA42" s="28" t="s">
        <v>335</v>
      </c>
    </row>
    <row r="43" spans="1:28" s="19" customFormat="1" ht="30" customHeight="1" x14ac:dyDescent="0.45">
      <c r="A43" s="9">
        <v>42</v>
      </c>
      <c r="B43" s="10">
        <v>1216</v>
      </c>
      <c r="C43" s="11" t="s">
        <v>77</v>
      </c>
      <c r="D43" s="9">
        <f>VLOOKUP(PhasesTable[[#This Row],[CIP '#]],ProjectsTable[[CIP '#]:[Project Classification 3]],5,FALSE)</f>
        <v>122</v>
      </c>
      <c r="E43" s="9">
        <f>VLOOKUP(PhasesTable[[#This Row],[CIP '#]],ProjectsTable[[CIP '#]:[Project Classification 3]],6,FALSE)</f>
        <v>122002</v>
      </c>
      <c r="F43" s="12" t="s">
        <v>24</v>
      </c>
      <c r="G43" s="13" t="str">
        <f>VLOOKUP(PhasesTable[[#This Row],[CIP '#]],ProjectsTable[[CIP '#]:[Project Classification 3]],8,FALSE)</f>
        <v>Water</v>
      </c>
      <c r="H43" s="12" t="str">
        <f>VLOOKUP(PhasesTable[[#This Row],[CIP '#]],ProjectsTable[[CIP '#]:[Project Classification 3]],9,FALSE)</f>
        <v>Field Services</v>
      </c>
      <c r="I43" s="13" t="str">
        <f>VLOOKUP(PhasesTable[[#This Row],[CIP '#]],ProjectsTable[[CIP '#]:[Project Classification 3]],10,FALSE)</f>
        <v>Transmission System</v>
      </c>
      <c r="J43" s="13" t="s">
        <v>201</v>
      </c>
      <c r="K43" s="12" t="s">
        <v>228</v>
      </c>
      <c r="L43" s="13" t="s">
        <v>214</v>
      </c>
      <c r="M43" s="14">
        <v>42138</v>
      </c>
      <c r="N43" s="14">
        <v>42916</v>
      </c>
      <c r="O43" s="110">
        <v>1014.6368200000001</v>
      </c>
      <c r="P43" s="111">
        <v>1205</v>
      </c>
      <c r="Q43" s="112">
        <v>0</v>
      </c>
      <c r="R43" s="113">
        <v>0</v>
      </c>
      <c r="S43" s="113">
        <v>0</v>
      </c>
      <c r="T43" s="113">
        <v>0</v>
      </c>
      <c r="U43" s="114">
        <v>0</v>
      </c>
      <c r="V43" s="111">
        <v>0</v>
      </c>
      <c r="W43" s="115">
        <f>SUM(Q43:U43)</f>
        <v>0</v>
      </c>
      <c r="X43" s="116">
        <f>SUM(O43:V43)</f>
        <v>2219.6368200000002</v>
      </c>
      <c r="Y43" s="15" t="s">
        <v>338</v>
      </c>
      <c r="Z43" s="47" t="s">
        <v>288</v>
      </c>
      <c r="AA43" s="17" t="s">
        <v>335</v>
      </c>
      <c r="AB43" s="18"/>
    </row>
    <row r="44" spans="1:28" s="18" customFormat="1" ht="30" customHeight="1" x14ac:dyDescent="0.45">
      <c r="A44" s="29">
        <v>120</v>
      </c>
      <c r="B44" s="30">
        <v>1221</v>
      </c>
      <c r="C44" s="31" t="s">
        <v>143</v>
      </c>
      <c r="D44" s="29">
        <f>VLOOKUP(PhasesTable[[#This Row],[CIP '#]],ProjectsTable[[CIP '#]:[Project Classification 3]],5,FALSE)</f>
        <v>213</v>
      </c>
      <c r="E44" s="29">
        <f>VLOOKUP(PhasesTable[[#This Row],[CIP '#]],ProjectsTable[[CIP '#]:[Project Classification 3]],6,FALSE)</f>
        <v>213002</v>
      </c>
      <c r="F44" s="32" t="s">
        <v>119</v>
      </c>
      <c r="G44" s="23" t="str">
        <f>VLOOKUP(PhasesTable[[#This Row],[CIP '#]],ProjectsTable[[CIP '#]:[Project Classification 3]],8,FALSE)</f>
        <v>Wastewater</v>
      </c>
      <c r="H44" s="24" t="str">
        <f>VLOOKUP(PhasesTable[[#This Row],[CIP '#]],ProjectsTable[[CIP '#]:[Project Classification 3]],9,FALSE)</f>
        <v>WRRF</v>
      </c>
      <c r="I44" s="33" t="str">
        <f>VLOOKUP(PhasesTable[[#This Row],[CIP '#]],ProjectsTable[[CIP '#]:[Project Classification 3]],10,FALSE)</f>
        <v>Residuals Management</v>
      </c>
      <c r="J44" s="32" t="s">
        <v>201</v>
      </c>
      <c r="K44" s="34" t="s">
        <v>27</v>
      </c>
      <c r="L44" s="32" t="s">
        <v>200</v>
      </c>
      <c r="M44" s="35" t="s">
        <v>27</v>
      </c>
      <c r="N44" s="35" t="s">
        <v>27</v>
      </c>
      <c r="O44" s="123">
        <v>0</v>
      </c>
      <c r="P44" s="123">
        <v>0</v>
      </c>
      <c r="Q44" s="124">
        <v>5500</v>
      </c>
      <c r="R44" s="125">
        <v>6500</v>
      </c>
      <c r="S44" s="125">
        <v>4000</v>
      </c>
      <c r="T44" s="125">
        <v>0</v>
      </c>
      <c r="U44" s="126">
        <v>0</v>
      </c>
      <c r="V44" s="123">
        <v>0</v>
      </c>
      <c r="W44" s="127">
        <f>SUM(Q44:U44)</f>
        <v>16000</v>
      </c>
      <c r="X44" s="128">
        <f>SUM(O44:V44)</f>
        <v>16000</v>
      </c>
      <c r="Y44" s="26" t="s">
        <v>338</v>
      </c>
      <c r="Z44" s="36" t="s">
        <v>290</v>
      </c>
      <c r="AA44" s="28" t="s">
        <v>335</v>
      </c>
    </row>
    <row r="45" spans="1:28" s="18" customFormat="1" ht="30" customHeight="1" x14ac:dyDescent="0.45">
      <c r="A45" s="29">
        <v>121</v>
      </c>
      <c r="B45" s="30">
        <v>1221</v>
      </c>
      <c r="C45" s="31" t="s">
        <v>143</v>
      </c>
      <c r="D45" s="29">
        <f>VLOOKUP(PhasesTable[[#This Row],[CIP '#]],ProjectsTable[[CIP '#]:[Project Classification 3]],5,FALSE)</f>
        <v>213</v>
      </c>
      <c r="E45" s="29">
        <f>VLOOKUP(PhasesTable[[#This Row],[CIP '#]],ProjectsTable[[CIP '#]:[Project Classification 3]],6,FALSE)</f>
        <v>213002</v>
      </c>
      <c r="F45" s="32" t="s">
        <v>119</v>
      </c>
      <c r="G45" s="23" t="str">
        <f>VLOOKUP(PhasesTable[[#This Row],[CIP '#]],ProjectsTable[[CIP '#]:[Project Classification 3]],8,FALSE)</f>
        <v>Wastewater</v>
      </c>
      <c r="H45" s="24" t="str">
        <f>VLOOKUP(PhasesTable[[#This Row],[CIP '#]],ProjectsTable[[CIP '#]:[Project Classification 3]],9,FALSE)</f>
        <v>WRRF</v>
      </c>
      <c r="I45" s="33" t="str">
        <f>VLOOKUP(PhasesTable[[#This Row],[CIP '#]],ProjectsTable[[CIP '#]:[Project Classification 3]],10,FALSE)</f>
        <v>Residuals Management</v>
      </c>
      <c r="J45" s="32" t="s">
        <v>215</v>
      </c>
      <c r="K45" s="34" t="s">
        <v>265</v>
      </c>
      <c r="L45" s="32" t="s">
        <v>222</v>
      </c>
      <c r="M45" s="35" t="s">
        <v>27</v>
      </c>
      <c r="N45" s="35" t="s">
        <v>27</v>
      </c>
      <c r="O45" s="123">
        <v>0</v>
      </c>
      <c r="P45" s="123">
        <v>800</v>
      </c>
      <c r="Q45" s="124">
        <v>350</v>
      </c>
      <c r="R45" s="125">
        <v>250</v>
      </c>
      <c r="S45" s="125">
        <v>350</v>
      </c>
      <c r="T45" s="125">
        <v>0</v>
      </c>
      <c r="U45" s="126">
        <v>0</v>
      </c>
      <c r="V45" s="123">
        <v>0</v>
      </c>
      <c r="W45" s="127">
        <f>SUM(Q45:U45)</f>
        <v>950</v>
      </c>
      <c r="X45" s="128">
        <f>SUM(O45:V45)</f>
        <v>1750</v>
      </c>
      <c r="Y45" s="26" t="s">
        <v>338</v>
      </c>
      <c r="Z45" s="36" t="s">
        <v>288</v>
      </c>
      <c r="AA45" s="28" t="s">
        <v>335</v>
      </c>
    </row>
    <row r="46" spans="1:28" s="18" customFormat="1" ht="30" customHeight="1" x14ac:dyDescent="0.45">
      <c r="A46" s="20">
        <v>113</v>
      </c>
      <c r="B46" s="21">
        <v>1222</v>
      </c>
      <c r="C46" s="22" t="s">
        <v>295</v>
      </c>
      <c r="D46" s="20">
        <f>VLOOKUP(PhasesTable[[#This Row],[CIP '#]],ProjectsTable[[CIP '#]:[Project Classification 3]],5,FALSE)</f>
        <v>212</v>
      </c>
      <c r="E46" s="20">
        <f>VLOOKUP(PhasesTable[[#This Row],[CIP '#]],ProjectsTable[[CIP '#]:[Project Classification 3]],6,FALSE)</f>
        <v>212004</v>
      </c>
      <c r="F46" s="23" t="s">
        <v>119</v>
      </c>
      <c r="G46" s="23" t="str">
        <f>VLOOKUP(PhasesTable[[#This Row],[CIP '#]],ProjectsTable[[CIP '#]:[Project Classification 3]],8,FALSE)</f>
        <v>Wastewater</v>
      </c>
      <c r="H46" s="24" t="str">
        <f>VLOOKUP(PhasesTable[[#This Row],[CIP '#]],ProjectsTable[[CIP '#]:[Project Classification 3]],9,FALSE)</f>
        <v>WRRF</v>
      </c>
      <c r="I46" s="24" t="str">
        <f>VLOOKUP(PhasesTable[[#This Row],[CIP '#]],ProjectsTable[[CIP '#]:[Project Classification 3]],10,FALSE)</f>
        <v>Secondary Treatment &amp; Disinfection</v>
      </c>
      <c r="J46" s="23" t="s">
        <v>201</v>
      </c>
      <c r="K46" s="55" t="s">
        <v>27</v>
      </c>
      <c r="L46" s="23" t="s">
        <v>200</v>
      </c>
      <c r="M46" s="25" t="s">
        <v>27</v>
      </c>
      <c r="N46" s="25" t="s">
        <v>27</v>
      </c>
      <c r="O46" s="117">
        <v>0</v>
      </c>
      <c r="P46" s="117">
        <v>0</v>
      </c>
      <c r="Q46" s="118">
        <v>400</v>
      </c>
      <c r="R46" s="119">
        <v>2800</v>
      </c>
      <c r="S46" s="119">
        <v>1800</v>
      </c>
      <c r="T46" s="119">
        <v>0</v>
      </c>
      <c r="U46" s="120">
        <v>0</v>
      </c>
      <c r="V46" s="117">
        <v>0</v>
      </c>
      <c r="W46" s="121">
        <f>SUM(Q46:U46)</f>
        <v>5000</v>
      </c>
      <c r="X46" s="122">
        <f>SUM(O46:V46)</f>
        <v>5000</v>
      </c>
      <c r="Y46" s="26" t="s">
        <v>338</v>
      </c>
      <c r="Z46" s="36" t="s">
        <v>288</v>
      </c>
      <c r="AA46" s="28" t="s">
        <v>335</v>
      </c>
    </row>
    <row r="47" spans="1:28" s="18" customFormat="1" ht="30" customHeight="1" x14ac:dyDescent="0.45">
      <c r="A47" s="20">
        <v>139</v>
      </c>
      <c r="B47" s="21">
        <v>1223</v>
      </c>
      <c r="C47" s="22" t="s">
        <v>302</v>
      </c>
      <c r="D47" s="20">
        <f>VLOOKUP(PhasesTable[[#This Row],[CIP '#]],ProjectsTable[[CIP '#]:[Project Classification 3]],5,FALSE)</f>
        <v>216</v>
      </c>
      <c r="E47" s="20">
        <f>VLOOKUP(PhasesTable[[#This Row],[CIP '#]],ProjectsTable[[CIP '#]:[Project Classification 3]],6,FALSE)</f>
        <v>216004</v>
      </c>
      <c r="F47" s="23" t="s">
        <v>119</v>
      </c>
      <c r="G47" s="23" t="str">
        <f>VLOOKUP(PhasesTable[[#This Row],[CIP '#]],ProjectsTable[[CIP '#]:[Project Classification 3]],8,FALSE)</f>
        <v>Wastewater</v>
      </c>
      <c r="H47" s="24" t="str">
        <f>VLOOKUP(PhasesTable[[#This Row],[CIP '#]],ProjectsTable[[CIP '#]:[Project Classification 3]],9,FALSE)</f>
        <v>WRRF</v>
      </c>
      <c r="I47" s="24" t="str">
        <f>VLOOKUP(PhasesTable[[#This Row],[CIP '#]],ProjectsTable[[CIP '#]:[Project Classification 3]],10,FALSE)</f>
        <v>General Purpose</v>
      </c>
      <c r="J47" s="23" t="s">
        <v>201</v>
      </c>
      <c r="K47" s="55" t="s">
        <v>27</v>
      </c>
      <c r="L47" s="23" t="s">
        <v>200</v>
      </c>
      <c r="M47" s="25" t="s">
        <v>27</v>
      </c>
      <c r="N47" s="25" t="s">
        <v>27</v>
      </c>
      <c r="O47" s="117">
        <v>0</v>
      </c>
      <c r="P47" s="117">
        <v>0</v>
      </c>
      <c r="Q47" s="118">
        <v>2500</v>
      </c>
      <c r="R47" s="119">
        <v>2500</v>
      </c>
      <c r="S47" s="119">
        <v>0</v>
      </c>
      <c r="T47" s="119">
        <v>0</v>
      </c>
      <c r="U47" s="120">
        <v>0</v>
      </c>
      <c r="V47" s="117">
        <v>0</v>
      </c>
      <c r="W47" s="121">
        <f>SUM(Q47:U47)</f>
        <v>5000</v>
      </c>
      <c r="X47" s="122">
        <f>SUM(O47:V47)</f>
        <v>5000</v>
      </c>
      <c r="Y47" s="26" t="s">
        <v>338</v>
      </c>
      <c r="Z47" s="36" t="s">
        <v>288</v>
      </c>
      <c r="AA47" s="28" t="s">
        <v>335</v>
      </c>
    </row>
    <row r="48" spans="1:28" s="19" customFormat="1" ht="30" customHeight="1" x14ac:dyDescent="0.45">
      <c r="A48" s="9">
        <v>61</v>
      </c>
      <c r="B48" s="10">
        <v>1226</v>
      </c>
      <c r="C48" s="11" t="s">
        <v>101</v>
      </c>
      <c r="D48" s="9">
        <f>VLOOKUP(PhasesTable[[#This Row],[CIP '#]],ProjectsTable[[CIP '#]:[Project Classification 3]],5,FALSE)</f>
        <v>132</v>
      </c>
      <c r="E48" s="9">
        <f>VLOOKUP(PhasesTable[[#This Row],[CIP '#]],ProjectsTable[[CIP '#]:[Project Classification 3]],6,FALSE)</f>
        <v>132002</v>
      </c>
      <c r="F48" s="12" t="s">
        <v>24</v>
      </c>
      <c r="G48" s="13" t="str">
        <f>VLOOKUP(PhasesTable[[#This Row],[CIP '#]],ProjectsTable[[CIP '#]:[Project Classification 3]],8,FALSE)</f>
        <v>Water</v>
      </c>
      <c r="H48" s="12" t="str">
        <f>VLOOKUP(PhasesTable[[#This Row],[CIP '#]],ProjectsTable[[CIP '#]:[Project Classification 3]],9,FALSE)</f>
        <v>SCC</v>
      </c>
      <c r="I48" s="13" t="str">
        <f>VLOOKUP(PhasesTable[[#This Row],[CIP '#]],ProjectsTable[[CIP '#]:[Project Classification 3]],10,FALSE)</f>
        <v>Pump Station/Reservoir</v>
      </c>
      <c r="J48" s="13" t="s">
        <v>201</v>
      </c>
      <c r="K48" s="12" t="s">
        <v>236</v>
      </c>
      <c r="L48" s="13" t="s">
        <v>211</v>
      </c>
      <c r="M48" s="14">
        <v>42076</v>
      </c>
      <c r="N48" s="14">
        <v>42436</v>
      </c>
      <c r="O48" s="110">
        <v>611.28700000000003</v>
      </c>
      <c r="P48" s="111">
        <v>1</v>
      </c>
      <c r="Q48" s="112">
        <v>0</v>
      </c>
      <c r="R48" s="113">
        <v>0</v>
      </c>
      <c r="S48" s="113">
        <v>0</v>
      </c>
      <c r="T48" s="113">
        <v>0</v>
      </c>
      <c r="U48" s="114">
        <v>0</v>
      </c>
      <c r="V48" s="111">
        <v>0</v>
      </c>
      <c r="W48" s="115">
        <f>SUM(Q48:U48)</f>
        <v>0</v>
      </c>
      <c r="X48" s="116">
        <f>SUM(O48:V48)</f>
        <v>612.28700000000003</v>
      </c>
      <c r="Y48" s="15" t="s">
        <v>338</v>
      </c>
      <c r="Z48" s="47" t="s">
        <v>286</v>
      </c>
      <c r="AA48" s="17" t="s">
        <v>335</v>
      </c>
      <c r="AB48" s="50"/>
    </row>
    <row r="49" spans="1:28" s="44" customFormat="1" ht="30" customHeight="1" x14ac:dyDescent="0.45">
      <c r="A49" s="9">
        <v>1</v>
      </c>
      <c r="B49" s="10">
        <v>1227</v>
      </c>
      <c r="C49" s="11" t="s">
        <v>22</v>
      </c>
      <c r="D49" s="9">
        <f>VLOOKUP(PhasesTable[[#This Row],[CIP '#]],ProjectsTable[[CIP '#]:[Project Classification 3]],5,FALSE)</f>
        <v>111</v>
      </c>
      <c r="E49" s="9">
        <f>VLOOKUP(PhasesTable[[#This Row],[CIP '#]],ProjectsTable[[CIP '#]:[Project Classification 3]],6,FALSE)</f>
        <v>111001</v>
      </c>
      <c r="F49" s="12" t="s">
        <v>24</v>
      </c>
      <c r="G49" s="13" t="str">
        <f>VLOOKUP(PhasesTable[[#This Row],[CIP '#]],ProjectsTable[[CIP '#]:[Project Classification 3]],8,FALSE)</f>
        <v>Water</v>
      </c>
      <c r="H49" s="12" t="str">
        <f>VLOOKUP(PhasesTable[[#This Row],[CIP '#]],ProjectsTable[[CIP '#]:[Project Classification 3]],9,FALSE)</f>
        <v>Treatment Plants &amp; Facilities</v>
      </c>
      <c r="I49" s="13" t="str">
        <f>VLOOKUP(PhasesTable[[#This Row],[CIP '#]],ProjectsTable[[CIP '#]:[Project Classification 3]],10,FALSE)</f>
        <v>Lake Huron</v>
      </c>
      <c r="J49" s="13" t="s">
        <v>199</v>
      </c>
      <c r="K49" s="12" t="s">
        <v>27</v>
      </c>
      <c r="L49" s="13" t="s">
        <v>200</v>
      </c>
      <c r="M49" s="14" t="s">
        <v>27</v>
      </c>
      <c r="N49" s="14" t="s">
        <v>27</v>
      </c>
      <c r="O49" s="110">
        <v>0</v>
      </c>
      <c r="P49" s="111">
        <v>200</v>
      </c>
      <c r="Q49" s="112">
        <v>2500</v>
      </c>
      <c r="R49" s="113">
        <v>3000</v>
      </c>
      <c r="S49" s="113">
        <v>0</v>
      </c>
      <c r="T49" s="113">
        <v>0</v>
      </c>
      <c r="U49" s="114">
        <v>0</v>
      </c>
      <c r="V49" s="111">
        <v>0</v>
      </c>
      <c r="W49" s="115">
        <f>SUM(Q49:U49)</f>
        <v>5500</v>
      </c>
      <c r="X49" s="116">
        <f>SUM(O49:V49)</f>
        <v>5700</v>
      </c>
      <c r="Y49" s="15" t="s">
        <v>338</v>
      </c>
      <c r="Z49" s="16" t="s">
        <v>288</v>
      </c>
      <c r="AA49" s="17" t="s">
        <v>335</v>
      </c>
      <c r="AB49" s="43"/>
    </row>
    <row r="50" spans="1:28" s="58" customFormat="1" ht="30" customHeight="1" x14ac:dyDescent="0.45">
      <c r="A50" s="37">
        <v>43</v>
      </c>
      <c r="B50" s="38">
        <v>1230</v>
      </c>
      <c r="C50" s="39" t="s">
        <v>78</v>
      </c>
      <c r="D50" s="37">
        <f>VLOOKUP(PhasesTable[[#This Row],[CIP '#]],ProjectsTable[[CIP '#]:[Project Classification 3]],5,FALSE)</f>
        <v>1704</v>
      </c>
      <c r="E50" s="37">
        <f>VLOOKUP(PhasesTable[[#This Row],[CIP '#]],ProjectsTable[[CIP '#]:[Project Classification 3]],6,FALSE)</f>
        <v>170400</v>
      </c>
      <c r="F50" s="40" t="s">
        <v>24</v>
      </c>
      <c r="G50" s="41" t="str">
        <f>VLOOKUP(PhasesTable[[#This Row],[CIP '#]],ProjectsTable[[CIP '#]:[Project Classification 3]],8,FALSE)</f>
        <v>Water</v>
      </c>
      <c r="H50" s="40" t="str">
        <f>VLOOKUP(PhasesTable[[#This Row],[CIP '#]],ProjectsTable[[CIP '#]:[Project Classification 3]],9,FALSE)</f>
        <v>Programs</v>
      </c>
      <c r="I50" s="41" t="str">
        <f>VLOOKUP(PhasesTable[[#This Row],[CIP '#]],ProjectsTable[[CIP '#]:[Project Classification 3]],10,FALSE)</f>
        <v>Programs</v>
      </c>
      <c r="J50" s="41" t="s">
        <v>201</v>
      </c>
      <c r="K50" s="40" t="s">
        <v>27</v>
      </c>
      <c r="L50" s="41" t="s">
        <v>200</v>
      </c>
      <c r="M50" s="42" t="s">
        <v>27</v>
      </c>
      <c r="N50" s="42" t="s">
        <v>27</v>
      </c>
      <c r="O50" s="129">
        <v>0</v>
      </c>
      <c r="P50" s="130">
        <v>0</v>
      </c>
      <c r="Q50" s="131">
        <v>9000</v>
      </c>
      <c r="R50" s="132">
        <v>9000</v>
      </c>
      <c r="S50" s="132">
        <v>9000</v>
      </c>
      <c r="T50" s="132">
        <v>9000</v>
      </c>
      <c r="U50" s="133">
        <v>9000</v>
      </c>
      <c r="V50" s="130">
        <v>0</v>
      </c>
      <c r="W50" s="134">
        <f>SUM(Q50:U50)</f>
        <v>45000</v>
      </c>
      <c r="X50" s="135">
        <f>SUM(O50:V50)</f>
        <v>45000</v>
      </c>
      <c r="Y50" s="15" t="s">
        <v>338</v>
      </c>
      <c r="Z50" s="54" t="s">
        <v>288</v>
      </c>
      <c r="AA50" s="17" t="s">
        <v>335</v>
      </c>
      <c r="AB50" s="57"/>
    </row>
    <row r="51" spans="1:28" s="58" customFormat="1" ht="30" customHeight="1" x14ac:dyDescent="0.45">
      <c r="A51" s="37">
        <v>245</v>
      </c>
      <c r="B51" s="38">
        <v>1230</v>
      </c>
      <c r="C51" s="39" t="s">
        <v>78</v>
      </c>
      <c r="D51" s="38">
        <f>VLOOKUP(PhasesTable[[#This Row],[CIP '#]],ProjectsTable[[CIP '#]:[Project Classification 3]],5,FALSE)</f>
        <v>1704</v>
      </c>
      <c r="E51" s="38">
        <f>VLOOKUP(PhasesTable[[#This Row],[CIP '#]],ProjectsTable[[CIP '#]:[Project Classification 3]],6,FALSE)</f>
        <v>170400</v>
      </c>
      <c r="F51" s="40" t="s">
        <v>24</v>
      </c>
      <c r="G51" s="52" t="str">
        <f>VLOOKUP(PhasesTable[[#This Row],[CIP '#]],ProjectsTable[[CIP '#]:[Project Classification 3]],8,FALSE)</f>
        <v>Water</v>
      </c>
      <c r="H51" s="53" t="str">
        <f>VLOOKUP(PhasesTable[[#This Row],[CIP '#]],ProjectsTable[[CIP '#]:[Project Classification 3]],9,FALSE)</f>
        <v>Programs</v>
      </c>
      <c r="I51" s="52" t="str">
        <f>VLOOKUP(PhasesTable[[#This Row],[CIP '#]],ProjectsTable[[CIP '#]:[Project Classification 3]],10,FALSE)</f>
        <v>Programs</v>
      </c>
      <c r="J51" s="41" t="s">
        <v>206</v>
      </c>
      <c r="K51" s="40" t="s">
        <v>27</v>
      </c>
      <c r="L51" s="41" t="s">
        <v>200</v>
      </c>
      <c r="M51" s="42" t="s">
        <v>27</v>
      </c>
      <c r="N51" s="42" t="s">
        <v>27</v>
      </c>
      <c r="O51" s="137">
        <v>0</v>
      </c>
      <c r="P51" s="130">
        <v>0</v>
      </c>
      <c r="Q51" s="131">
        <v>1000</v>
      </c>
      <c r="R51" s="132">
        <v>1000</v>
      </c>
      <c r="S51" s="132">
        <v>1000</v>
      </c>
      <c r="T51" s="132">
        <v>1000</v>
      </c>
      <c r="U51" s="133">
        <v>1000</v>
      </c>
      <c r="V51" s="130">
        <v>0</v>
      </c>
      <c r="W51" s="134">
        <f>SUM(Q51:U51)</f>
        <v>5000</v>
      </c>
      <c r="X51" s="135">
        <f>SUM(O51:V51)</f>
        <v>5000</v>
      </c>
      <c r="Y51" s="15" t="s">
        <v>339</v>
      </c>
      <c r="Z51" s="54" t="s">
        <v>288</v>
      </c>
      <c r="AA51" s="17" t="s">
        <v>335</v>
      </c>
      <c r="AB51" s="59"/>
    </row>
    <row r="52" spans="1:28" s="19" customFormat="1" ht="30" customHeight="1" x14ac:dyDescent="0.45">
      <c r="A52" s="9">
        <v>74</v>
      </c>
      <c r="B52" s="10">
        <v>1233</v>
      </c>
      <c r="C52" s="11" t="s">
        <v>114</v>
      </c>
      <c r="D52" s="9">
        <f>VLOOKUP(PhasesTable[[#This Row],[CIP '#]],ProjectsTable[[CIP '#]:[Project Classification 3]],5,FALSE)</f>
        <v>161</v>
      </c>
      <c r="E52" s="9">
        <f>VLOOKUP(PhasesTable[[#This Row],[CIP '#]],ProjectsTable[[CIP '#]:[Project Classification 3]],6,FALSE)</f>
        <v>161001</v>
      </c>
      <c r="F52" s="12" t="s">
        <v>24</v>
      </c>
      <c r="G52" s="13" t="str">
        <f>VLOOKUP(PhasesTable[[#This Row],[CIP '#]],ProjectsTable[[CIP '#]:[Project Classification 3]],8,FALSE)</f>
        <v>Water</v>
      </c>
      <c r="H52" s="12" t="str">
        <f>VLOOKUP(PhasesTable[[#This Row],[CIP '#]],ProjectsTable[[CIP '#]:[Project Classification 3]],9,FALSE)</f>
        <v>General Purpose</v>
      </c>
      <c r="I52" s="13" t="str">
        <f>VLOOKUP(PhasesTable[[#This Row],[CIP '#]],ProjectsTable[[CIP '#]:[Project Classification 3]],10,FALSE)</f>
        <v>General Purpose</v>
      </c>
      <c r="J52" s="13" t="s">
        <v>204</v>
      </c>
      <c r="K52" s="12" t="s">
        <v>238</v>
      </c>
      <c r="L52" s="13" t="s">
        <v>214</v>
      </c>
      <c r="M52" s="14">
        <v>41428</v>
      </c>
      <c r="N52" s="14">
        <v>42735</v>
      </c>
      <c r="O52" s="110">
        <v>0</v>
      </c>
      <c r="P52" s="111">
        <v>290</v>
      </c>
      <c r="Q52" s="112">
        <v>0</v>
      </c>
      <c r="R52" s="113">
        <v>0</v>
      </c>
      <c r="S52" s="113">
        <v>0</v>
      </c>
      <c r="T52" s="113">
        <v>0</v>
      </c>
      <c r="U52" s="114">
        <v>0</v>
      </c>
      <c r="V52" s="111">
        <v>0</v>
      </c>
      <c r="W52" s="115">
        <f>SUM(Q52:U52)</f>
        <v>0</v>
      </c>
      <c r="X52" s="116">
        <f>SUM(O52:V52)</f>
        <v>290</v>
      </c>
      <c r="Y52" s="15" t="s">
        <v>338</v>
      </c>
      <c r="Z52" s="47" t="s">
        <v>289</v>
      </c>
      <c r="AA52" s="17" t="s">
        <v>335</v>
      </c>
      <c r="AB52" s="18"/>
    </row>
    <row r="53" spans="1:28" s="18" customFormat="1" ht="43.5" customHeight="1" x14ac:dyDescent="0.45">
      <c r="A53" s="20">
        <v>114</v>
      </c>
      <c r="B53" s="21">
        <v>1235</v>
      </c>
      <c r="C53" s="22" t="s">
        <v>296</v>
      </c>
      <c r="D53" s="20">
        <f>VLOOKUP(PhasesTable[[#This Row],[CIP '#]],ProjectsTable[[CIP '#]:[Project Classification 3]],5,FALSE)</f>
        <v>212</v>
      </c>
      <c r="E53" s="20">
        <f>VLOOKUP(PhasesTable[[#This Row],[CIP '#]],ProjectsTable[[CIP '#]:[Project Classification 3]],6,FALSE)</f>
        <v>212005</v>
      </c>
      <c r="F53" s="23" t="s">
        <v>119</v>
      </c>
      <c r="G53" s="23" t="str">
        <f>VLOOKUP(PhasesTable[[#This Row],[CIP '#]],ProjectsTable[[CIP '#]:[Project Classification 3]],8,FALSE)</f>
        <v>Wastewater</v>
      </c>
      <c r="H53" s="24" t="str">
        <f>VLOOKUP(PhasesTable[[#This Row],[CIP '#]],ProjectsTable[[CIP '#]:[Project Classification 3]],9,FALSE)</f>
        <v>WRRF</v>
      </c>
      <c r="I53" s="24" t="str">
        <f>VLOOKUP(PhasesTable[[#This Row],[CIP '#]],ProjectsTable[[CIP '#]:[Project Classification 3]],10,FALSE)</f>
        <v>Secondary Treatment &amp; Disinfection</v>
      </c>
      <c r="J53" s="23" t="s">
        <v>201</v>
      </c>
      <c r="K53" s="55" t="s">
        <v>259</v>
      </c>
      <c r="L53" s="23" t="s">
        <v>211</v>
      </c>
      <c r="M53" s="25">
        <v>41050</v>
      </c>
      <c r="N53" s="25">
        <v>42725</v>
      </c>
      <c r="O53" s="117">
        <v>12124.766</v>
      </c>
      <c r="P53" s="117">
        <v>62</v>
      </c>
      <c r="Q53" s="118">
        <v>0</v>
      </c>
      <c r="R53" s="119">
        <v>0</v>
      </c>
      <c r="S53" s="119">
        <v>0</v>
      </c>
      <c r="T53" s="119">
        <v>0</v>
      </c>
      <c r="U53" s="120">
        <v>0</v>
      </c>
      <c r="V53" s="117">
        <v>0</v>
      </c>
      <c r="W53" s="121">
        <f>SUM(Q53:U53)</f>
        <v>0</v>
      </c>
      <c r="X53" s="122">
        <f>SUM(O53:V53)</f>
        <v>12186.766</v>
      </c>
      <c r="Y53" s="26" t="s">
        <v>338</v>
      </c>
      <c r="Z53" s="36" t="s">
        <v>290</v>
      </c>
      <c r="AA53" s="28" t="s">
        <v>335</v>
      </c>
    </row>
    <row r="54" spans="1:28" s="43" customFormat="1" ht="30" customHeight="1" x14ac:dyDescent="0.45">
      <c r="A54" s="29">
        <v>141</v>
      </c>
      <c r="B54" s="30">
        <v>1237</v>
      </c>
      <c r="C54" s="31" t="s">
        <v>154</v>
      </c>
      <c r="D54" s="29">
        <f>VLOOKUP(PhasesTable[[#This Row],[CIP '#]],ProjectsTable[[CIP '#]:[Project Classification 3]],5,FALSE)</f>
        <v>216</v>
      </c>
      <c r="E54" s="29">
        <f>VLOOKUP(PhasesTable[[#This Row],[CIP '#]],ProjectsTable[[CIP '#]:[Project Classification 3]],6,FALSE)</f>
        <v>216005</v>
      </c>
      <c r="F54" s="32" t="s">
        <v>119</v>
      </c>
      <c r="G54" s="32" t="str">
        <f>VLOOKUP(PhasesTable[[#This Row],[CIP '#]],ProjectsTable[[CIP '#]:[Project Classification 3]],8,FALSE)</f>
        <v>Wastewater</v>
      </c>
      <c r="H54" s="33" t="str">
        <f>VLOOKUP(PhasesTable[[#This Row],[CIP '#]],ProjectsTable[[CIP '#]:[Project Classification 3]],9,FALSE)</f>
        <v>WRRF</v>
      </c>
      <c r="I54" s="33" t="str">
        <f>VLOOKUP(PhasesTable[[#This Row],[CIP '#]],ProjectsTable[[CIP '#]:[Project Classification 3]],10,FALSE)</f>
        <v>General Purpose</v>
      </c>
      <c r="J54" s="32" t="s">
        <v>215</v>
      </c>
      <c r="K54" s="34" t="s">
        <v>27</v>
      </c>
      <c r="L54" s="32" t="s">
        <v>200</v>
      </c>
      <c r="M54" s="35" t="s">
        <v>27</v>
      </c>
      <c r="N54" s="35" t="s">
        <v>27</v>
      </c>
      <c r="O54" s="123">
        <v>0</v>
      </c>
      <c r="P54" s="123">
        <v>0</v>
      </c>
      <c r="Q54" s="124">
        <v>1000</v>
      </c>
      <c r="R54" s="125">
        <v>440</v>
      </c>
      <c r="S54" s="125">
        <v>400</v>
      </c>
      <c r="T54" s="125">
        <v>0</v>
      </c>
      <c r="U54" s="126">
        <v>0</v>
      </c>
      <c r="V54" s="123">
        <v>0</v>
      </c>
      <c r="W54" s="127">
        <f>SUM(Q54:U54)</f>
        <v>1840</v>
      </c>
      <c r="X54" s="128">
        <f>SUM(O54:V54)</f>
        <v>1840</v>
      </c>
      <c r="Y54" s="26" t="s">
        <v>338</v>
      </c>
      <c r="Z54" s="60" t="s">
        <v>288</v>
      </c>
      <c r="AA54" s="28" t="s">
        <v>335</v>
      </c>
    </row>
    <row r="55" spans="1:28" s="43" customFormat="1" ht="39.75" customHeight="1" x14ac:dyDescent="0.45">
      <c r="A55" s="29">
        <v>140</v>
      </c>
      <c r="B55" s="30">
        <v>1237</v>
      </c>
      <c r="C55" s="31" t="s">
        <v>154</v>
      </c>
      <c r="D55" s="29">
        <f>VLOOKUP(PhasesTable[[#This Row],[CIP '#]],ProjectsTable[[CIP '#]:[Project Classification 3]],5,FALSE)</f>
        <v>216</v>
      </c>
      <c r="E55" s="29">
        <f>VLOOKUP(PhasesTable[[#This Row],[CIP '#]],ProjectsTable[[CIP '#]:[Project Classification 3]],6,FALSE)</f>
        <v>216005</v>
      </c>
      <c r="F55" s="32" t="s">
        <v>119</v>
      </c>
      <c r="G55" s="32" t="str">
        <f>VLOOKUP(PhasesTable[[#This Row],[CIP '#]],ProjectsTable[[CIP '#]:[Project Classification 3]],8,FALSE)</f>
        <v>Wastewater</v>
      </c>
      <c r="H55" s="33" t="str">
        <f>VLOOKUP(PhasesTable[[#This Row],[CIP '#]],ProjectsTable[[CIP '#]:[Project Classification 3]],9,FALSE)</f>
        <v>WRRF</v>
      </c>
      <c r="I55" s="33" t="str">
        <f>VLOOKUP(PhasesTable[[#This Row],[CIP '#]],ProjectsTable[[CIP '#]:[Project Classification 3]],10,FALSE)</f>
        <v>General Purpose</v>
      </c>
      <c r="J55" s="32" t="s">
        <v>201</v>
      </c>
      <c r="K55" s="34" t="s">
        <v>27</v>
      </c>
      <c r="L55" s="32" t="s">
        <v>200</v>
      </c>
      <c r="M55" s="35" t="s">
        <v>27</v>
      </c>
      <c r="N55" s="35" t="s">
        <v>27</v>
      </c>
      <c r="O55" s="123">
        <v>0</v>
      </c>
      <c r="P55" s="123">
        <v>0</v>
      </c>
      <c r="Q55" s="124">
        <v>500</v>
      </c>
      <c r="R55" s="125">
        <v>5560</v>
      </c>
      <c r="S55" s="125">
        <v>5000</v>
      </c>
      <c r="T55" s="125">
        <v>0</v>
      </c>
      <c r="U55" s="126">
        <v>0</v>
      </c>
      <c r="V55" s="123">
        <v>0</v>
      </c>
      <c r="W55" s="127">
        <f>SUM(Q55:U55)</f>
        <v>11060</v>
      </c>
      <c r="X55" s="128">
        <f>SUM(O55:V55)</f>
        <v>11060</v>
      </c>
      <c r="Y55" s="26" t="s">
        <v>338</v>
      </c>
      <c r="Z55" s="60" t="s">
        <v>288</v>
      </c>
      <c r="AA55" s="28" t="s">
        <v>335</v>
      </c>
    </row>
    <row r="56" spans="1:28" s="18" customFormat="1" ht="39.75" customHeight="1" x14ac:dyDescent="0.45">
      <c r="A56" s="29">
        <v>165</v>
      </c>
      <c r="B56" s="30">
        <v>1241</v>
      </c>
      <c r="C56" s="31" t="s">
        <v>164</v>
      </c>
      <c r="D56" s="29">
        <f>VLOOKUP(PhasesTable[[#This Row],[CIP '#]],ProjectsTable[[CIP '#]:[Project Classification 3]],5,FALSE)</f>
        <v>232</v>
      </c>
      <c r="E56" s="29">
        <f>VLOOKUP(PhasesTable[[#This Row],[CIP '#]],ProjectsTable[[CIP '#]:[Project Classification 3]],6,FALSE)</f>
        <v>232001</v>
      </c>
      <c r="F56" s="32" t="s">
        <v>119</v>
      </c>
      <c r="G56" s="23" t="str">
        <f>VLOOKUP(PhasesTable[[#This Row],[CIP '#]],ProjectsTable[[CIP '#]:[Project Classification 3]],8,FALSE)</f>
        <v>Wastewater</v>
      </c>
      <c r="H56" s="24" t="str">
        <f>VLOOKUP(PhasesTable[[#This Row],[CIP '#]],ProjectsTable[[CIP '#]:[Project Classification 3]],9,FALSE)</f>
        <v>SCC</v>
      </c>
      <c r="I56" s="33" t="str">
        <f>VLOOKUP(PhasesTable[[#This Row],[CIP '#]],ProjectsTable[[CIP '#]:[Project Classification 3]],10,FALSE)</f>
        <v>Pumping Stations</v>
      </c>
      <c r="J56" s="32" t="s">
        <v>202</v>
      </c>
      <c r="K56" s="34" t="s">
        <v>273</v>
      </c>
      <c r="L56" s="32" t="s">
        <v>200</v>
      </c>
      <c r="M56" s="35">
        <v>42556</v>
      </c>
      <c r="N56" s="35">
        <v>44474</v>
      </c>
      <c r="O56" s="123">
        <v>128.09388999999999</v>
      </c>
      <c r="P56" s="123">
        <f>600-PhasesTable[[#This Row],[Lifetime Actual Thru FY 2016 (Unaudited)]]</f>
        <v>471.90611000000001</v>
      </c>
      <c r="Q56" s="124">
        <v>1400</v>
      </c>
      <c r="R56" s="125">
        <v>350</v>
      </c>
      <c r="S56" s="125">
        <v>350</v>
      </c>
      <c r="T56" s="125">
        <v>0</v>
      </c>
      <c r="U56" s="126">
        <v>0</v>
      </c>
      <c r="V56" s="123">
        <v>0</v>
      </c>
      <c r="W56" s="127">
        <f>SUM(Q56:U56)</f>
        <v>2100</v>
      </c>
      <c r="X56" s="128">
        <f>SUM(O56:V56)</f>
        <v>2700</v>
      </c>
      <c r="Y56" s="26" t="s">
        <v>338</v>
      </c>
      <c r="Z56" s="36" t="s">
        <v>286</v>
      </c>
      <c r="AA56" s="28" t="s">
        <v>335</v>
      </c>
    </row>
    <row r="57" spans="1:28" s="18" customFormat="1" ht="30" customHeight="1" x14ac:dyDescent="0.45">
      <c r="A57" s="29">
        <v>164</v>
      </c>
      <c r="B57" s="30">
        <v>1241</v>
      </c>
      <c r="C57" s="31" t="s">
        <v>164</v>
      </c>
      <c r="D57" s="29">
        <f>VLOOKUP(PhasesTable[[#This Row],[CIP '#]],ProjectsTable[[CIP '#]:[Project Classification 3]],5,FALSE)</f>
        <v>232</v>
      </c>
      <c r="E57" s="29">
        <f>VLOOKUP(PhasesTable[[#This Row],[CIP '#]],ProjectsTable[[CIP '#]:[Project Classification 3]],6,FALSE)</f>
        <v>232001</v>
      </c>
      <c r="F57" s="32" t="s">
        <v>119</v>
      </c>
      <c r="G57" s="23" t="str">
        <f>VLOOKUP(PhasesTable[[#This Row],[CIP '#]],ProjectsTable[[CIP '#]:[Project Classification 3]],8,FALSE)</f>
        <v>Wastewater</v>
      </c>
      <c r="H57" s="24" t="str">
        <f>VLOOKUP(PhasesTable[[#This Row],[CIP '#]],ProjectsTable[[CIP '#]:[Project Classification 3]],9,FALSE)</f>
        <v>SCC</v>
      </c>
      <c r="I57" s="33" t="str">
        <f>VLOOKUP(PhasesTable[[#This Row],[CIP '#]],ProjectsTable[[CIP '#]:[Project Classification 3]],10,FALSE)</f>
        <v>Pumping Stations</v>
      </c>
      <c r="J57" s="32" t="s">
        <v>201</v>
      </c>
      <c r="K57" s="33" t="s">
        <v>27</v>
      </c>
      <c r="L57" s="32" t="s">
        <v>200</v>
      </c>
      <c r="M57" s="35" t="s">
        <v>27</v>
      </c>
      <c r="N57" s="35" t="s">
        <v>27</v>
      </c>
      <c r="O57" s="123">
        <v>0</v>
      </c>
      <c r="P57" s="123">
        <v>0</v>
      </c>
      <c r="Q57" s="124">
        <v>700</v>
      </c>
      <c r="R57" s="125">
        <v>14000</v>
      </c>
      <c r="S57" s="125">
        <v>15000</v>
      </c>
      <c r="T57" s="125">
        <v>0</v>
      </c>
      <c r="U57" s="126">
        <v>0</v>
      </c>
      <c r="V57" s="123">
        <v>0</v>
      </c>
      <c r="W57" s="127">
        <f>SUM(Q57:U57)</f>
        <v>29700</v>
      </c>
      <c r="X57" s="128">
        <f>SUM(O57:V57)</f>
        <v>29700</v>
      </c>
      <c r="Y57" s="26" t="s">
        <v>338</v>
      </c>
      <c r="Z57" s="36" t="s">
        <v>286</v>
      </c>
      <c r="AA57" s="28" t="s">
        <v>335</v>
      </c>
    </row>
    <row r="58" spans="1:28" s="18" customFormat="1" ht="30" customHeight="1" x14ac:dyDescent="0.45">
      <c r="A58" s="20">
        <v>122</v>
      </c>
      <c r="B58" s="21">
        <v>1253</v>
      </c>
      <c r="C58" s="22" t="s">
        <v>297</v>
      </c>
      <c r="D58" s="20">
        <f>VLOOKUP(PhasesTable[[#This Row],[CIP '#]],ProjectsTable[[CIP '#]:[Project Classification 3]],5,FALSE)</f>
        <v>213</v>
      </c>
      <c r="E58" s="20">
        <f>VLOOKUP(PhasesTable[[#This Row],[CIP '#]],ProjectsTable[[CIP '#]:[Project Classification 3]],6,FALSE)</f>
        <v>213003</v>
      </c>
      <c r="F58" s="23" t="s">
        <v>119</v>
      </c>
      <c r="G58" s="23" t="str">
        <f>VLOOKUP(PhasesTable[[#This Row],[CIP '#]],ProjectsTable[[CIP '#]:[Project Classification 3]],8,FALSE)</f>
        <v>Wastewater</v>
      </c>
      <c r="H58" s="24" t="str">
        <f>VLOOKUP(PhasesTable[[#This Row],[CIP '#]],ProjectsTable[[CIP '#]:[Project Classification 3]],9,FALSE)</f>
        <v>WRRF</v>
      </c>
      <c r="I58" s="24" t="str">
        <f>VLOOKUP(PhasesTable[[#This Row],[CIP '#]],ProjectsTable[[CIP '#]:[Project Classification 3]],10,FALSE)</f>
        <v>Residuals Management</v>
      </c>
      <c r="J58" s="23" t="s">
        <v>225</v>
      </c>
      <c r="K58" s="20" t="s">
        <v>266</v>
      </c>
      <c r="L58" s="23" t="s">
        <v>200</v>
      </c>
      <c r="M58" s="25">
        <v>41260</v>
      </c>
      <c r="N58" s="25">
        <v>42916</v>
      </c>
      <c r="O58" s="117">
        <v>33042.857000000004</v>
      </c>
      <c r="P58" s="117">
        <v>3000</v>
      </c>
      <c r="Q58" s="118">
        <v>0</v>
      </c>
      <c r="R58" s="119">
        <v>0</v>
      </c>
      <c r="S58" s="119">
        <v>0</v>
      </c>
      <c r="T58" s="119">
        <v>0</v>
      </c>
      <c r="U58" s="120">
        <v>0</v>
      </c>
      <c r="V58" s="117">
        <v>0</v>
      </c>
      <c r="W58" s="121">
        <f>SUM(Q58:U58)</f>
        <v>0</v>
      </c>
      <c r="X58" s="122">
        <f>SUM(O58:V58)</f>
        <v>36042.857000000004</v>
      </c>
      <c r="Y58" s="26" t="s">
        <v>338</v>
      </c>
      <c r="Z58" s="27" t="s">
        <v>290</v>
      </c>
      <c r="AA58" s="28" t="s">
        <v>335</v>
      </c>
    </row>
    <row r="59" spans="1:28" s="18" customFormat="1" ht="30" customHeight="1" x14ac:dyDescent="0.45">
      <c r="A59" s="20">
        <v>123</v>
      </c>
      <c r="B59" s="21">
        <v>1254</v>
      </c>
      <c r="C59" s="22" t="s">
        <v>298</v>
      </c>
      <c r="D59" s="20">
        <f>VLOOKUP(PhasesTable[[#This Row],[CIP '#]],ProjectsTable[[CIP '#]:[Project Classification 3]],5,FALSE)</f>
        <v>213</v>
      </c>
      <c r="E59" s="20">
        <f>VLOOKUP(PhasesTable[[#This Row],[CIP '#]],ProjectsTable[[CIP '#]:[Project Classification 3]],6,FALSE)</f>
        <v>213004</v>
      </c>
      <c r="F59" s="23" t="s">
        <v>119</v>
      </c>
      <c r="G59" s="23" t="str">
        <f>VLOOKUP(PhasesTable[[#This Row],[CIP '#]],ProjectsTable[[CIP '#]:[Project Classification 3]],8,FALSE)</f>
        <v>Wastewater</v>
      </c>
      <c r="H59" s="24" t="str">
        <f>VLOOKUP(PhasesTable[[#This Row],[CIP '#]],ProjectsTable[[CIP '#]:[Project Classification 3]],9,FALSE)</f>
        <v>WRRF</v>
      </c>
      <c r="I59" s="24" t="str">
        <f>VLOOKUP(PhasesTable[[#This Row],[CIP '#]],ProjectsTable[[CIP '#]:[Project Classification 3]],10,FALSE)</f>
        <v>Residuals Management</v>
      </c>
      <c r="J59" s="23" t="s">
        <v>225</v>
      </c>
      <c r="K59" s="55" t="s">
        <v>267</v>
      </c>
      <c r="L59" s="23" t="s">
        <v>211</v>
      </c>
      <c r="M59" s="25">
        <v>41417</v>
      </c>
      <c r="N59" s="25">
        <v>42674</v>
      </c>
      <c r="O59" s="117">
        <v>134190.5</v>
      </c>
      <c r="P59" s="117">
        <v>1691</v>
      </c>
      <c r="Q59" s="118">
        <v>60</v>
      </c>
      <c r="R59" s="119">
        <v>26</v>
      </c>
      <c r="S59" s="119">
        <v>0</v>
      </c>
      <c r="T59" s="119">
        <v>0</v>
      </c>
      <c r="U59" s="120">
        <v>0</v>
      </c>
      <c r="V59" s="117">
        <v>0</v>
      </c>
      <c r="W59" s="121">
        <f>SUM(Q59:U59)</f>
        <v>86</v>
      </c>
      <c r="X59" s="122">
        <f>SUM(O59:V59)</f>
        <v>135967.5</v>
      </c>
      <c r="Y59" s="26" t="s">
        <v>338</v>
      </c>
      <c r="Z59" s="36" t="s">
        <v>291</v>
      </c>
      <c r="AA59" s="28" t="s">
        <v>335</v>
      </c>
    </row>
    <row r="60" spans="1:28" s="19" customFormat="1" ht="30" customHeight="1" x14ac:dyDescent="0.45">
      <c r="A60" s="9">
        <v>75</v>
      </c>
      <c r="B60" s="10">
        <v>1256</v>
      </c>
      <c r="C60" s="11" t="s">
        <v>115</v>
      </c>
      <c r="D60" s="9">
        <f>VLOOKUP(PhasesTable[[#This Row],[CIP '#]],ProjectsTable[[CIP '#]:[Project Classification 3]],5,FALSE)</f>
        <v>1701</v>
      </c>
      <c r="E60" s="9">
        <f>VLOOKUP(PhasesTable[[#This Row],[CIP '#]],ProjectsTable[[CIP '#]:[Project Classification 3]],6,FALSE)</f>
        <v>170100</v>
      </c>
      <c r="F60" s="12" t="s">
        <v>24</v>
      </c>
      <c r="G60" s="13" t="str">
        <f>VLOOKUP(PhasesTable[[#This Row],[CIP '#]],ProjectsTable[[CIP '#]:[Project Classification 3]],8,FALSE)</f>
        <v>Water</v>
      </c>
      <c r="H60" s="12" t="str">
        <f>VLOOKUP(PhasesTable[[#This Row],[CIP '#]],ProjectsTable[[CIP '#]:[Project Classification 3]],9,FALSE)</f>
        <v>Programs</v>
      </c>
      <c r="I60" s="12" t="str">
        <f>VLOOKUP(PhasesTable[[#This Row],[CIP '#]],ProjectsTable[[CIP '#]:[Project Classification 3]],10,FALSE)</f>
        <v>Programs</v>
      </c>
      <c r="J60" s="13" t="s">
        <v>199</v>
      </c>
      <c r="K60" s="12" t="s">
        <v>27</v>
      </c>
      <c r="L60" s="13" t="s">
        <v>200</v>
      </c>
      <c r="M60" s="14" t="s">
        <v>27</v>
      </c>
      <c r="N60" s="14" t="s">
        <v>27</v>
      </c>
      <c r="O60" s="110">
        <v>0</v>
      </c>
      <c r="P60" s="111">
        <f>19660-7015</f>
        <v>12645</v>
      </c>
      <c r="Q60" s="112">
        <v>19650</v>
      </c>
      <c r="R60" s="113">
        <v>20000</v>
      </c>
      <c r="S60" s="113">
        <v>20000</v>
      </c>
      <c r="T60" s="113">
        <v>10000</v>
      </c>
      <c r="U60" s="114">
        <v>10000</v>
      </c>
      <c r="V60" s="111">
        <v>0</v>
      </c>
      <c r="W60" s="115">
        <f>SUM(Q60:U60)</f>
        <v>79650</v>
      </c>
      <c r="X60" s="116">
        <f>SUM(O60:V60)</f>
        <v>92295</v>
      </c>
      <c r="Y60" s="15" t="s">
        <v>338</v>
      </c>
      <c r="Z60" s="47" t="s">
        <v>288</v>
      </c>
      <c r="AA60" s="17" t="s">
        <v>335</v>
      </c>
      <c r="AB60" s="50"/>
    </row>
    <row r="61" spans="1:28" s="18" customFormat="1" ht="30" customHeight="1" x14ac:dyDescent="0.45">
      <c r="A61" s="29">
        <v>184</v>
      </c>
      <c r="B61" s="30">
        <v>1257</v>
      </c>
      <c r="C61" s="31" t="s">
        <v>173</v>
      </c>
      <c r="D61" s="29">
        <f>VLOOKUP(PhasesTable[[#This Row],[CIP '#]],ProjectsTable[[CIP '#]:[Project Classification 3]],5,FALSE)</f>
        <v>2601</v>
      </c>
      <c r="E61" s="29">
        <f>VLOOKUP(PhasesTable[[#This Row],[CIP '#]],ProjectsTable[[CIP '#]:[Project Classification 3]],6,FALSE)</f>
        <v>260100</v>
      </c>
      <c r="F61" s="32" t="s">
        <v>119</v>
      </c>
      <c r="G61" s="23" t="str">
        <f>VLOOKUP(PhasesTable[[#This Row],[CIP '#]],ProjectsTable[[CIP '#]:[Project Classification 3]],8,FALSE)</f>
        <v>Wastewater</v>
      </c>
      <c r="H61" s="24" t="str">
        <f>VLOOKUP(PhasesTable[[#This Row],[CIP '#]],ProjectsTable[[CIP '#]:[Project Classification 3]],9,FALSE)</f>
        <v>Programs</v>
      </c>
      <c r="I61" s="33" t="str">
        <f>VLOOKUP(PhasesTable[[#This Row],[CIP '#]],ProjectsTable[[CIP '#]:[Project Classification 3]],10,FALSE)</f>
        <v>Programs</v>
      </c>
      <c r="J61" s="32" t="s">
        <v>201</v>
      </c>
      <c r="K61" s="34" t="s">
        <v>27</v>
      </c>
      <c r="L61" s="32" t="s">
        <v>200</v>
      </c>
      <c r="M61" s="35" t="s">
        <v>27</v>
      </c>
      <c r="N61" s="35" t="s">
        <v>27</v>
      </c>
      <c r="O61" s="123">
        <v>0</v>
      </c>
      <c r="P61" s="123">
        <f>5155-600</f>
        <v>4555</v>
      </c>
      <c r="Q61" s="124">
        <v>9421</v>
      </c>
      <c r="R61" s="125">
        <v>10000</v>
      </c>
      <c r="S61" s="125">
        <v>12500</v>
      </c>
      <c r="T61" s="125">
        <v>12500</v>
      </c>
      <c r="U61" s="126">
        <v>10000</v>
      </c>
      <c r="V61" s="123">
        <v>0</v>
      </c>
      <c r="W61" s="127">
        <f>SUM(Q61:U61)</f>
        <v>54421</v>
      </c>
      <c r="X61" s="128">
        <f>SUM(O61:V61)</f>
        <v>58976</v>
      </c>
      <c r="Y61" s="26" t="s">
        <v>338</v>
      </c>
      <c r="Z61" s="36" t="s">
        <v>288</v>
      </c>
      <c r="AA61" s="28" t="s">
        <v>335</v>
      </c>
    </row>
    <row r="62" spans="1:28" s="18" customFormat="1" ht="39.4" customHeight="1" x14ac:dyDescent="0.45">
      <c r="A62" s="64">
        <v>238</v>
      </c>
      <c r="B62" s="21">
        <v>1257</v>
      </c>
      <c r="C62" s="22" t="s">
        <v>173</v>
      </c>
      <c r="D62" s="21">
        <f>VLOOKUP(PhasesTable[[#This Row],[CIP '#]],ProjectsTable[[CIP '#]:[Project Classification 3]],5,FALSE)</f>
        <v>2601</v>
      </c>
      <c r="E62" s="21">
        <f>VLOOKUP(PhasesTable[[#This Row],[CIP '#]],ProjectsTable[[CIP '#]:[Project Classification 3]],6,FALSE)</f>
        <v>260100</v>
      </c>
      <c r="F62" s="33" t="s">
        <v>119</v>
      </c>
      <c r="G62" s="61" t="str">
        <f>VLOOKUP(PhasesTable[[#This Row],[CIP '#]],ProjectsTable[[CIP '#]:[Project Classification 3]],8,FALSE)</f>
        <v>Wastewater</v>
      </c>
      <c r="H62" s="62" t="str">
        <f>VLOOKUP(PhasesTable[[#This Row],[CIP '#]],ProjectsTable[[CIP '#]:[Project Classification 3]],9,FALSE)</f>
        <v>Programs</v>
      </c>
      <c r="I62" s="65" t="str">
        <f>VLOOKUP(PhasesTable[[#This Row],[CIP '#]],ProjectsTable[[CIP '#]:[Project Classification 3]],10,FALSE)</f>
        <v>Programs</v>
      </c>
      <c r="J62" s="23" t="s">
        <v>215</v>
      </c>
      <c r="K62" s="33" t="s">
        <v>27</v>
      </c>
      <c r="L62" s="23" t="s">
        <v>200</v>
      </c>
      <c r="M62" s="45" t="s">
        <v>27</v>
      </c>
      <c r="N62" s="45" t="s">
        <v>27</v>
      </c>
      <c r="O62" s="139">
        <v>0</v>
      </c>
      <c r="P62" s="117">
        <v>0</v>
      </c>
      <c r="Q62" s="118">
        <v>2000</v>
      </c>
      <c r="R62" s="119">
        <v>2000</v>
      </c>
      <c r="S62" s="119">
        <v>2500</v>
      </c>
      <c r="T62" s="119">
        <v>2500</v>
      </c>
      <c r="U62" s="120">
        <v>2000</v>
      </c>
      <c r="V62" s="117">
        <v>0</v>
      </c>
      <c r="W62" s="121">
        <f>SUM(Q62:U62)</f>
        <v>11000</v>
      </c>
      <c r="X62" s="122">
        <f>SUM(O62:V62)</f>
        <v>11000</v>
      </c>
      <c r="Y62" s="26" t="s">
        <v>338</v>
      </c>
      <c r="Z62" s="36" t="s">
        <v>288</v>
      </c>
      <c r="AA62" s="28" t="s">
        <v>335</v>
      </c>
    </row>
    <row r="63" spans="1:28" s="18" customFormat="1" ht="30" customHeight="1" x14ac:dyDescent="0.45">
      <c r="A63" s="29">
        <v>183</v>
      </c>
      <c r="B63" s="30">
        <v>1257</v>
      </c>
      <c r="C63" s="31" t="s">
        <v>173</v>
      </c>
      <c r="D63" s="29">
        <f>VLOOKUP(PhasesTable[[#This Row],[CIP '#]],ProjectsTable[[CIP '#]:[Project Classification 3]],5,FALSE)</f>
        <v>2601</v>
      </c>
      <c r="E63" s="29">
        <f>VLOOKUP(PhasesTable[[#This Row],[CIP '#]],ProjectsTable[[CIP '#]:[Project Classification 3]],6,FALSE)</f>
        <v>260100</v>
      </c>
      <c r="F63" s="33" t="s">
        <v>119</v>
      </c>
      <c r="G63" s="23" t="str">
        <f>VLOOKUP(PhasesTable[[#This Row],[CIP '#]],ProjectsTable[[CIP '#]:[Project Classification 3]],8,FALSE)</f>
        <v>Wastewater</v>
      </c>
      <c r="H63" s="24" t="str">
        <f>VLOOKUP(PhasesTable[[#This Row],[CIP '#]],ProjectsTable[[CIP '#]:[Project Classification 3]],9,FALSE)</f>
        <v>Programs</v>
      </c>
      <c r="I63" s="33" t="str">
        <f>VLOOKUP(PhasesTable[[#This Row],[CIP '#]],ProjectsTable[[CIP '#]:[Project Classification 3]],10,FALSE)</f>
        <v>Programs</v>
      </c>
      <c r="J63" s="32" t="s">
        <v>201</v>
      </c>
      <c r="K63" s="33" t="s">
        <v>321</v>
      </c>
      <c r="L63" s="32" t="s">
        <v>214</v>
      </c>
      <c r="M63" s="49" t="s">
        <v>30</v>
      </c>
      <c r="N63" s="49" t="s">
        <v>30</v>
      </c>
      <c r="O63" s="138">
        <v>0</v>
      </c>
      <c r="P63" s="123">
        <v>600</v>
      </c>
      <c r="Q63" s="124">
        <v>579</v>
      </c>
      <c r="R63" s="125">
        <v>0</v>
      </c>
      <c r="S63" s="125">
        <v>0</v>
      </c>
      <c r="T63" s="125">
        <v>0</v>
      </c>
      <c r="U63" s="126">
        <v>0</v>
      </c>
      <c r="V63" s="123">
        <v>0</v>
      </c>
      <c r="W63" s="127">
        <f>SUM(Q63:U63)</f>
        <v>579</v>
      </c>
      <c r="X63" s="128">
        <f>SUM(O63:V63)</f>
        <v>1179</v>
      </c>
      <c r="Y63" s="26" t="s">
        <v>338</v>
      </c>
      <c r="Z63" s="36" t="s">
        <v>288</v>
      </c>
      <c r="AA63" s="28" t="s">
        <v>335</v>
      </c>
    </row>
    <row r="64" spans="1:28" s="18" customFormat="1" ht="30" customHeight="1" x14ac:dyDescent="0.45">
      <c r="A64" s="29">
        <v>237</v>
      </c>
      <c r="B64" s="21">
        <v>1257</v>
      </c>
      <c r="C64" s="22" t="s">
        <v>173</v>
      </c>
      <c r="D64" s="21">
        <f>VLOOKUP(PhasesTable[[#This Row],[CIP '#]],ProjectsTable[[CIP '#]:[Project Classification 3]],5,FALSE)</f>
        <v>2601</v>
      </c>
      <c r="E64" s="21">
        <f>VLOOKUP(PhasesTable[[#This Row],[CIP '#]],ProjectsTable[[CIP '#]:[Project Classification 3]],6,FALSE)</f>
        <v>260100</v>
      </c>
      <c r="F64" s="34" t="s">
        <v>119</v>
      </c>
      <c r="G64" s="61" t="str">
        <f>VLOOKUP(PhasesTable[[#This Row],[CIP '#]],ProjectsTable[[CIP '#]:[Project Classification 3]],8,FALSE)</f>
        <v>Wastewater</v>
      </c>
      <c r="H64" s="62" t="str">
        <f>VLOOKUP(PhasesTable[[#This Row],[CIP '#]],ProjectsTable[[CIP '#]:[Project Classification 3]],9,FALSE)</f>
        <v>Programs</v>
      </c>
      <c r="I64" s="63" t="str">
        <f>VLOOKUP(PhasesTable[[#This Row],[CIP '#]],ProjectsTable[[CIP '#]:[Project Classification 3]],10,FALSE)</f>
        <v>Programs</v>
      </c>
      <c r="J64" s="55" t="s">
        <v>201</v>
      </c>
      <c r="K64" s="34" t="s">
        <v>316</v>
      </c>
      <c r="L64" s="55" t="s">
        <v>211</v>
      </c>
      <c r="M64" s="25">
        <f>PhasesTable[[#This Row],[End Date]]-360</f>
        <v>42482</v>
      </c>
      <c r="N64" s="25">
        <v>42842</v>
      </c>
      <c r="O64" s="117">
        <v>0</v>
      </c>
      <c r="P64" s="117">
        <v>432</v>
      </c>
      <c r="Q64" s="118">
        <v>0</v>
      </c>
      <c r="R64" s="119">
        <v>0</v>
      </c>
      <c r="S64" s="119">
        <v>0</v>
      </c>
      <c r="T64" s="119">
        <v>0</v>
      </c>
      <c r="U64" s="120">
        <v>0</v>
      </c>
      <c r="V64" s="117">
        <v>0</v>
      </c>
      <c r="W64" s="121">
        <f>SUM(Q64:U64)</f>
        <v>0</v>
      </c>
      <c r="X64" s="122">
        <f>SUM(O64:V64)</f>
        <v>432</v>
      </c>
      <c r="Y64" s="26" t="s">
        <v>338</v>
      </c>
      <c r="Z64" s="36" t="s">
        <v>288</v>
      </c>
      <c r="AA64" s="28" t="s">
        <v>335</v>
      </c>
    </row>
    <row r="65" spans="1:28" s="18" customFormat="1" ht="30" customHeight="1" x14ac:dyDescent="0.45">
      <c r="A65" s="29">
        <v>146</v>
      </c>
      <c r="B65" s="30">
        <v>1263</v>
      </c>
      <c r="C65" s="31" t="s">
        <v>157</v>
      </c>
      <c r="D65" s="29">
        <f>VLOOKUP(PhasesTable[[#This Row],[CIP '#]],ProjectsTable[[CIP '#]:[Project Classification 3]],5,FALSE)</f>
        <v>2602</v>
      </c>
      <c r="E65" s="29">
        <f>VLOOKUP(PhasesTable[[#This Row],[CIP '#]],ProjectsTable[[CIP '#]:[Project Classification 3]],6,FALSE)</f>
        <v>260200</v>
      </c>
      <c r="F65" s="32" t="s">
        <v>119</v>
      </c>
      <c r="G65" s="23" t="str">
        <f>VLOOKUP(PhasesTable[[#This Row],[CIP '#]],ProjectsTable[[CIP '#]:[Project Classification 3]],8,FALSE)</f>
        <v>Wastewater</v>
      </c>
      <c r="H65" s="24" t="str">
        <f>VLOOKUP(PhasesTable[[#This Row],[CIP '#]],ProjectsTable[[CIP '#]:[Project Classification 3]],9,FALSE)</f>
        <v>Programs</v>
      </c>
      <c r="I65" s="32" t="str">
        <f>VLOOKUP(PhasesTable[[#This Row],[CIP '#]],ProjectsTable[[CIP '#]:[Project Classification 3]],10,FALSE)</f>
        <v>Programs</v>
      </c>
      <c r="J65" s="32" t="s">
        <v>201</v>
      </c>
      <c r="K65" s="34" t="s">
        <v>27</v>
      </c>
      <c r="L65" s="32" t="s">
        <v>200</v>
      </c>
      <c r="M65" s="35" t="s">
        <v>27</v>
      </c>
      <c r="N65" s="35" t="s">
        <v>27</v>
      </c>
      <c r="O65" s="123">
        <v>0</v>
      </c>
      <c r="P65" s="123">
        <v>0</v>
      </c>
      <c r="Q65" s="124">
        <v>5360</v>
      </c>
      <c r="R65" s="125">
        <v>7360</v>
      </c>
      <c r="S65" s="125">
        <v>18400</v>
      </c>
      <c r="T65" s="125">
        <v>18400</v>
      </c>
      <c r="U65" s="126">
        <v>18400</v>
      </c>
      <c r="V65" s="123">
        <v>0</v>
      </c>
      <c r="W65" s="127">
        <f>SUM(Q65:U65)</f>
        <v>67920</v>
      </c>
      <c r="X65" s="128">
        <f>SUM(O65:V65)</f>
        <v>67920</v>
      </c>
      <c r="Y65" s="26" t="s">
        <v>338</v>
      </c>
      <c r="Z65" s="36" t="s">
        <v>286</v>
      </c>
      <c r="AA65" s="28" t="s">
        <v>335</v>
      </c>
    </row>
    <row r="66" spans="1:28" s="43" customFormat="1" ht="30" customHeight="1" x14ac:dyDescent="0.45">
      <c r="A66" s="29">
        <v>149</v>
      </c>
      <c r="B66" s="30">
        <v>1263</v>
      </c>
      <c r="C66" s="31" t="s">
        <v>157</v>
      </c>
      <c r="D66" s="29">
        <f>VLOOKUP(PhasesTable[[#This Row],[CIP '#]],ProjectsTable[[CIP '#]:[Project Classification 3]],5,FALSE)</f>
        <v>2602</v>
      </c>
      <c r="E66" s="29">
        <f>VLOOKUP(PhasesTable[[#This Row],[CIP '#]],ProjectsTable[[CIP '#]:[Project Classification 3]],6,FALSE)</f>
        <v>260200</v>
      </c>
      <c r="F66" s="34" t="s">
        <v>119</v>
      </c>
      <c r="G66" s="23" t="str">
        <f>VLOOKUP(PhasesTable[[#This Row],[CIP '#]],ProjectsTable[[CIP '#]:[Project Classification 3]],8,FALSE)</f>
        <v>Wastewater</v>
      </c>
      <c r="H66" s="24" t="str">
        <f>VLOOKUP(PhasesTable[[#This Row],[CIP '#]],ProjectsTable[[CIP '#]:[Project Classification 3]],9,FALSE)</f>
        <v>Programs</v>
      </c>
      <c r="I66" s="34" t="str">
        <f>VLOOKUP(PhasesTable[[#This Row],[CIP '#]],ProjectsTable[[CIP '#]:[Project Classification 3]],10,FALSE)</f>
        <v>Programs</v>
      </c>
      <c r="J66" s="34" t="s">
        <v>208</v>
      </c>
      <c r="K66" s="34" t="s">
        <v>272</v>
      </c>
      <c r="L66" s="34" t="s">
        <v>200</v>
      </c>
      <c r="M66" s="35" t="s">
        <v>27</v>
      </c>
      <c r="N66" s="35" t="s">
        <v>27</v>
      </c>
      <c r="O66" s="123">
        <v>0</v>
      </c>
      <c r="P66" s="123">
        <v>2464</v>
      </c>
      <c r="Q66" s="124">
        <v>2000</v>
      </c>
      <c r="R66" s="125">
        <v>0</v>
      </c>
      <c r="S66" s="125">
        <v>0</v>
      </c>
      <c r="T66" s="125">
        <v>0</v>
      </c>
      <c r="U66" s="126">
        <v>0</v>
      </c>
      <c r="V66" s="123">
        <v>0</v>
      </c>
      <c r="W66" s="127">
        <f>SUM(Q66:U66)</f>
        <v>2000</v>
      </c>
      <c r="X66" s="128">
        <f>SUM(O66:V66)</f>
        <v>4464</v>
      </c>
      <c r="Y66" s="26" t="s">
        <v>338</v>
      </c>
      <c r="Z66" s="36" t="s">
        <v>286</v>
      </c>
      <c r="AA66" s="28" t="s">
        <v>335</v>
      </c>
    </row>
    <row r="67" spans="1:28" s="57" customFormat="1" ht="30" customHeight="1" x14ac:dyDescent="0.45">
      <c r="A67" s="29">
        <v>147</v>
      </c>
      <c r="B67" s="30">
        <v>1263</v>
      </c>
      <c r="C67" s="31" t="s">
        <v>157</v>
      </c>
      <c r="D67" s="29">
        <f>VLOOKUP(PhasesTable[[#This Row],[CIP '#]],ProjectsTable[[CIP '#]:[Project Classification 3]],5,FALSE)</f>
        <v>2602</v>
      </c>
      <c r="E67" s="29">
        <f>VLOOKUP(PhasesTable[[#This Row],[CIP '#]],ProjectsTable[[CIP '#]:[Project Classification 3]],6,FALSE)</f>
        <v>260200</v>
      </c>
      <c r="F67" s="32" t="s">
        <v>119</v>
      </c>
      <c r="G67" s="23" t="str">
        <f>VLOOKUP(PhasesTable[[#This Row],[CIP '#]],ProjectsTable[[CIP '#]:[Project Classification 3]],8,FALSE)</f>
        <v>Wastewater</v>
      </c>
      <c r="H67" s="24" t="str">
        <f>VLOOKUP(PhasesTable[[#This Row],[CIP '#]],ProjectsTable[[CIP '#]:[Project Classification 3]],9,FALSE)</f>
        <v>Programs</v>
      </c>
      <c r="I67" s="32" t="str">
        <f>VLOOKUP(PhasesTable[[#This Row],[CIP '#]],ProjectsTable[[CIP '#]:[Project Classification 3]],10,FALSE)</f>
        <v>Programs</v>
      </c>
      <c r="J67" s="32" t="s">
        <v>206</v>
      </c>
      <c r="K67" s="34" t="s">
        <v>27</v>
      </c>
      <c r="L67" s="32" t="s">
        <v>200</v>
      </c>
      <c r="M67" s="35" t="s">
        <v>27</v>
      </c>
      <c r="N67" s="35" t="s">
        <v>27</v>
      </c>
      <c r="O67" s="123">
        <v>0</v>
      </c>
      <c r="P67" s="123">
        <v>0</v>
      </c>
      <c r="Q67" s="124">
        <v>400</v>
      </c>
      <c r="R67" s="125">
        <v>400</v>
      </c>
      <c r="S67" s="125">
        <v>1000</v>
      </c>
      <c r="T67" s="125">
        <v>1000</v>
      </c>
      <c r="U67" s="126">
        <v>1000</v>
      </c>
      <c r="V67" s="123">
        <v>0</v>
      </c>
      <c r="W67" s="127">
        <f>SUM(Q67:U67)</f>
        <v>3800</v>
      </c>
      <c r="X67" s="128">
        <f>SUM(O67:V67)</f>
        <v>3800</v>
      </c>
      <c r="Y67" s="26" t="s">
        <v>338</v>
      </c>
      <c r="Z67" s="36" t="s">
        <v>286</v>
      </c>
      <c r="AA67" s="28" t="s">
        <v>335</v>
      </c>
    </row>
    <row r="68" spans="1:28" s="46" customFormat="1" ht="30" customHeight="1" x14ac:dyDescent="0.45">
      <c r="A68" s="29">
        <v>148</v>
      </c>
      <c r="B68" s="30">
        <v>1263</v>
      </c>
      <c r="C68" s="31" t="s">
        <v>157</v>
      </c>
      <c r="D68" s="29">
        <f>VLOOKUP(PhasesTable[[#This Row],[CIP '#]],ProjectsTable[[CIP '#]:[Project Classification 3]],5,FALSE)</f>
        <v>2602</v>
      </c>
      <c r="E68" s="29">
        <f>VLOOKUP(PhasesTable[[#This Row],[CIP '#]],ProjectsTable[[CIP '#]:[Project Classification 3]],6,FALSE)</f>
        <v>260200</v>
      </c>
      <c r="F68" s="32" t="s">
        <v>119</v>
      </c>
      <c r="G68" s="23" t="str">
        <f>VLOOKUP(PhasesTable[[#This Row],[CIP '#]],ProjectsTable[[CIP '#]:[Project Classification 3]],8,FALSE)</f>
        <v>Wastewater</v>
      </c>
      <c r="H68" s="24" t="str">
        <f>VLOOKUP(PhasesTable[[#This Row],[CIP '#]],ProjectsTable[[CIP '#]:[Project Classification 3]],9,FALSE)</f>
        <v>Programs</v>
      </c>
      <c r="I68" s="32" t="str">
        <f>VLOOKUP(PhasesTable[[#This Row],[CIP '#]],ProjectsTable[[CIP '#]:[Project Classification 3]],10,FALSE)</f>
        <v>Programs</v>
      </c>
      <c r="J68" s="32" t="s">
        <v>204</v>
      </c>
      <c r="K68" s="34" t="s">
        <v>27</v>
      </c>
      <c r="L68" s="32" t="s">
        <v>200</v>
      </c>
      <c r="M68" s="35" t="s">
        <v>27</v>
      </c>
      <c r="N68" s="35" t="s">
        <v>27</v>
      </c>
      <c r="O68" s="123">
        <v>0</v>
      </c>
      <c r="P68" s="123">
        <v>0</v>
      </c>
      <c r="Q68" s="124">
        <v>218</v>
      </c>
      <c r="R68" s="125">
        <v>240</v>
      </c>
      <c r="S68" s="125">
        <v>600</v>
      </c>
      <c r="T68" s="125">
        <v>600</v>
      </c>
      <c r="U68" s="126">
        <v>600</v>
      </c>
      <c r="V68" s="123">
        <v>0</v>
      </c>
      <c r="W68" s="127">
        <f>SUM(Q68:U68)</f>
        <v>2258</v>
      </c>
      <c r="X68" s="128">
        <f>SUM(O68:V68)</f>
        <v>2258</v>
      </c>
      <c r="Y68" s="26" t="s">
        <v>338</v>
      </c>
      <c r="Z68" s="36" t="s">
        <v>287</v>
      </c>
      <c r="AA68" s="28" t="s">
        <v>335</v>
      </c>
    </row>
    <row r="69" spans="1:28" s="18" customFormat="1" ht="30" customHeight="1" x14ac:dyDescent="0.45">
      <c r="A69" s="29">
        <v>239</v>
      </c>
      <c r="B69" s="21">
        <v>1263</v>
      </c>
      <c r="C69" s="22" t="s">
        <v>157</v>
      </c>
      <c r="D69" s="21">
        <f>VLOOKUP(PhasesTable[[#This Row],[CIP '#]],ProjectsTable[[CIP '#]:[Project Classification 3]],5,FALSE)</f>
        <v>2602</v>
      </c>
      <c r="E69" s="21">
        <f>VLOOKUP(PhasesTable[[#This Row],[CIP '#]],ProjectsTable[[CIP '#]:[Project Classification 3]],6,FALSE)</f>
        <v>260200</v>
      </c>
      <c r="F69" s="34" t="s">
        <v>119</v>
      </c>
      <c r="G69" s="61" t="str">
        <f>VLOOKUP(PhasesTable[[#This Row],[CIP '#]],ProjectsTable[[CIP '#]:[Project Classification 3]],8,FALSE)</f>
        <v>Wastewater</v>
      </c>
      <c r="H69" s="62" t="str">
        <f>VLOOKUP(PhasesTable[[#This Row],[CIP '#]],ProjectsTable[[CIP '#]:[Project Classification 3]],9,FALSE)</f>
        <v>Programs</v>
      </c>
      <c r="I69" s="63" t="str">
        <f>VLOOKUP(PhasesTable[[#This Row],[CIP '#]],ProjectsTable[[CIP '#]:[Project Classification 3]],10,FALSE)</f>
        <v>Programs</v>
      </c>
      <c r="J69" s="55" t="s">
        <v>215</v>
      </c>
      <c r="K69" s="34" t="s">
        <v>315</v>
      </c>
      <c r="L69" s="55" t="s">
        <v>222</v>
      </c>
      <c r="M69" s="25" t="s">
        <v>27</v>
      </c>
      <c r="N69" s="25" t="s">
        <v>27</v>
      </c>
      <c r="O69" s="117">
        <v>0</v>
      </c>
      <c r="P69" s="117">
        <v>148</v>
      </c>
      <c r="Q69" s="118">
        <v>22</v>
      </c>
      <c r="R69" s="119">
        <v>0</v>
      </c>
      <c r="S69" s="119">
        <v>0</v>
      </c>
      <c r="T69" s="119">
        <v>0</v>
      </c>
      <c r="U69" s="120">
        <v>0</v>
      </c>
      <c r="V69" s="117">
        <v>0</v>
      </c>
      <c r="W69" s="121">
        <f>SUM(Q69:U69)</f>
        <v>22</v>
      </c>
      <c r="X69" s="122">
        <f>SUM(O69:V69)</f>
        <v>170</v>
      </c>
      <c r="Y69" s="26" t="s">
        <v>338</v>
      </c>
      <c r="Z69" s="36" t="s">
        <v>286</v>
      </c>
      <c r="AA69" s="28" t="s">
        <v>335</v>
      </c>
    </row>
    <row r="70" spans="1:28" s="19" customFormat="1" ht="30" customHeight="1" x14ac:dyDescent="0.45">
      <c r="A70" s="9">
        <v>20</v>
      </c>
      <c r="B70" s="10">
        <v>1264</v>
      </c>
      <c r="C70" s="11" t="s">
        <v>49</v>
      </c>
      <c r="D70" s="9">
        <f>VLOOKUP(PhasesTable[[#This Row],[CIP '#]],ProjectsTable[[CIP '#]:[Project Classification 3]],5,FALSE)</f>
        <v>114</v>
      </c>
      <c r="E70" s="9">
        <f>VLOOKUP(PhasesTable[[#This Row],[CIP '#]],ProjectsTable[[CIP '#]:[Project Classification 3]],6,FALSE)</f>
        <v>114003</v>
      </c>
      <c r="F70" s="12" t="s">
        <v>24</v>
      </c>
      <c r="G70" s="13" t="str">
        <f>VLOOKUP(PhasesTable[[#This Row],[CIP '#]],ProjectsTable[[CIP '#]:[Project Classification 3]],8,FALSE)</f>
        <v>Water</v>
      </c>
      <c r="H70" s="12" t="str">
        <f>VLOOKUP(PhasesTable[[#This Row],[CIP '#]],ProjectsTable[[CIP '#]:[Project Classification 3]],9,FALSE)</f>
        <v>Treatment Plants &amp; Facilities</v>
      </c>
      <c r="I70" s="13" t="str">
        <f>VLOOKUP(PhasesTable[[#This Row],[CIP '#]],ProjectsTable[[CIP '#]:[Project Classification 3]],10,FALSE)</f>
        <v>Springwells</v>
      </c>
      <c r="J70" s="13" t="s">
        <v>201</v>
      </c>
      <c r="K70" s="12" t="s">
        <v>27</v>
      </c>
      <c r="L70" s="13" t="s">
        <v>200</v>
      </c>
      <c r="M70" s="14" t="s">
        <v>27</v>
      </c>
      <c r="N70" s="14" t="s">
        <v>27</v>
      </c>
      <c r="O70" s="110">
        <v>0</v>
      </c>
      <c r="P70" s="111">
        <v>1000</v>
      </c>
      <c r="Q70" s="112">
        <v>8800</v>
      </c>
      <c r="R70" s="113">
        <v>2100</v>
      </c>
      <c r="S70" s="113">
        <v>1000</v>
      </c>
      <c r="T70" s="113">
        <v>0</v>
      </c>
      <c r="U70" s="114">
        <v>0</v>
      </c>
      <c r="V70" s="111">
        <v>0</v>
      </c>
      <c r="W70" s="115">
        <f>SUM(Q70:U70)</f>
        <v>11900</v>
      </c>
      <c r="X70" s="116">
        <f>SUM(O70:V70)</f>
        <v>12900</v>
      </c>
      <c r="Y70" s="15" t="s">
        <v>339</v>
      </c>
      <c r="Z70" s="16" t="s">
        <v>287</v>
      </c>
      <c r="AA70" s="17" t="s">
        <v>335</v>
      </c>
      <c r="AB70" s="18"/>
    </row>
    <row r="71" spans="1:28" s="19" customFormat="1" ht="30" customHeight="1" x14ac:dyDescent="0.45">
      <c r="A71" s="9">
        <v>21</v>
      </c>
      <c r="B71" s="10">
        <v>1265</v>
      </c>
      <c r="C71" s="11" t="s">
        <v>50</v>
      </c>
      <c r="D71" s="9">
        <f>VLOOKUP(PhasesTable[[#This Row],[CIP '#]],ProjectsTable[[CIP '#]:[Project Classification 3]],5,FALSE)</f>
        <v>114</v>
      </c>
      <c r="E71" s="9">
        <f>VLOOKUP(PhasesTable[[#This Row],[CIP '#]],ProjectsTable[[CIP '#]:[Project Classification 3]],6,FALSE)</f>
        <v>114004</v>
      </c>
      <c r="F71" s="12" t="s">
        <v>24</v>
      </c>
      <c r="G71" s="13" t="str">
        <f>VLOOKUP(PhasesTable[[#This Row],[CIP '#]],ProjectsTable[[CIP '#]:[Project Classification 3]],8,FALSE)</f>
        <v>Water</v>
      </c>
      <c r="H71" s="12" t="str">
        <f>VLOOKUP(PhasesTable[[#This Row],[CIP '#]],ProjectsTable[[CIP '#]:[Project Classification 3]],9,FALSE)</f>
        <v>Treatment Plants &amp; Facilities</v>
      </c>
      <c r="I71" s="13" t="str">
        <f>VLOOKUP(PhasesTable[[#This Row],[CIP '#]],ProjectsTable[[CIP '#]:[Project Classification 3]],10,FALSE)</f>
        <v>Springwells</v>
      </c>
      <c r="J71" s="13" t="s">
        <v>201</v>
      </c>
      <c r="K71" s="12" t="s">
        <v>218</v>
      </c>
      <c r="L71" s="13" t="s">
        <v>214</v>
      </c>
      <c r="M71" s="14">
        <v>42326</v>
      </c>
      <c r="N71" s="14">
        <v>42656</v>
      </c>
      <c r="O71" s="110">
        <v>397.72233999999997</v>
      </c>
      <c r="P71" s="111">
        <v>600</v>
      </c>
      <c r="Q71" s="112">
        <v>0</v>
      </c>
      <c r="R71" s="113">
        <v>0</v>
      </c>
      <c r="S71" s="113">
        <v>0</v>
      </c>
      <c r="T71" s="113">
        <v>0</v>
      </c>
      <c r="U71" s="114">
        <v>0</v>
      </c>
      <c r="V71" s="111">
        <v>0</v>
      </c>
      <c r="W71" s="115">
        <f>SUM(Q71:U71)</f>
        <v>0</v>
      </c>
      <c r="X71" s="116">
        <f>SUM(O71:V71)</f>
        <v>997.72234000000003</v>
      </c>
      <c r="Y71" s="15" t="s">
        <v>338</v>
      </c>
      <c r="Z71" s="16" t="s">
        <v>286</v>
      </c>
      <c r="AA71" s="17" t="s">
        <v>335</v>
      </c>
      <c r="AB71" s="18"/>
    </row>
    <row r="72" spans="1:28" s="19" customFormat="1" ht="30" customHeight="1" x14ac:dyDescent="0.45">
      <c r="A72" s="9">
        <v>22</v>
      </c>
      <c r="B72" s="10">
        <v>1266</v>
      </c>
      <c r="C72" s="11" t="s">
        <v>52</v>
      </c>
      <c r="D72" s="9">
        <f>VLOOKUP(PhasesTable[[#This Row],[CIP '#]],ProjectsTable[[CIP '#]:[Project Classification 3]],5,FALSE)</f>
        <v>114</v>
      </c>
      <c r="E72" s="9">
        <f>VLOOKUP(PhasesTable[[#This Row],[CIP '#]],ProjectsTable[[CIP '#]:[Project Classification 3]],6,FALSE)</f>
        <v>114005</v>
      </c>
      <c r="F72" s="12" t="s">
        <v>24</v>
      </c>
      <c r="G72" s="13" t="str">
        <f>VLOOKUP(PhasesTable[[#This Row],[CIP '#]],ProjectsTable[[CIP '#]:[Project Classification 3]],8,FALSE)</f>
        <v>Water</v>
      </c>
      <c r="H72" s="12" t="str">
        <f>VLOOKUP(PhasesTable[[#This Row],[CIP '#]],ProjectsTable[[CIP '#]:[Project Classification 3]],9,FALSE)</f>
        <v>Treatment Plants &amp; Facilities</v>
      </c>
      <c r="I72" s="13" t="str">
        <f>VLOOKUP(PhasesTable[[#This Row],[CIP '#]],ProjectsTable[[CIP '#]:[Project Classification 3]],10,FALSE)</f>
        <v>Springwells</v>
      </c>
      <c r="J72" s="13" t="s">
        <v>208</v>
      </c>
      <c r="K72" s="12" t="s">
        <v>27</v>
      </c>
      <c r="L72" s="13" t="s">
        <v>200</v>
      </c>
      <c r="M72" s="14" t="s">
        <v>27</v>
      </c>
      <c r="N72" s="14" t="s">
        <v>27</v>
      </c>
      <c r="O72" s="110">
        <v>0</v>
      </c>
      <c r="P72" s="111">
        <v>0</v>
      </c>
      <c r="Q72" s="112">
        <v>0</v>
      </c>
      <c r="R72" s="113">
        <v>300</v>
      </c>
      <c r="S72" s="113">
        <v>1700</v>
      </c>
      <c r="T72" s="113">
        <v>0</v>
      </c>
      <c r="U72" s="114">
        <v>0</v>
      </c>
      <c r="V72" s="111">
        <v>0</v>
      </c>
      <c r="W72" s="115">
        <f>SUM(Q72:U72)</f>
        <v>2000</v>
      </c>
      <c r="X72" s="116">
        <f>SUM(O72:V72)</f>
        <v>2000</v>
      </c>
      <c r="Y72" s="15" t="s">
        <v>338</v>
      </c>
      <c r="Z72" s="16" t="s">
        <v>288</v>
      </c>
      <c r="AA72" s="17" t="s">
        <v>335</v>
      </c>
      <c r="AB72" s="18"/>
    </row>
    <row r="73" spans="1:28" s="19" customFormat="1" ht="30" customHeight="1" x14ac:dyDescent="0.45">
      <c r="A73" s="37">
        <v>23</v>
      </c>
      <c r="B73" s="38">
        <v>1267</v>
      </c>
      <c r="C73" s="39" t="s">
        <v>53</v>
      </c>
      <c r="D73" s="37">
        <f>VLOOKUP(PhasesTable[[#This Row],[CIP '#]],ProjectsTable[[CIP '#]:[Project Classification 3]],5,FALSE)</f>
        <v>114</v>
      </c>
      <c r="E73" s="37">
        <f>VLOOKUP(PhasesTable[[#This Row],[CIP '#]],ProjectsTable[[CIP '#]:[Project Classification 3]],6,FALSE)</f>
        <v>114006</v>
      </c>
      <c r="F73" s="40" t="s">
        <v>24</v>
      </c>
      <c r="G73" s="41" t="str">
        <f>VLOOKUP(PhasesTable[[#This Row],[CIP '#]],ProjectsTable[[CIP '#]:[Project Classification 3]],8,FALSE)</f>
        <v>Water</v>
      </c>
      <c r="H73" s="40" t="str">
        <f>VLOOKUP(PhasesTable[[#This Row],[CIP '#]],ProjectsTable[[CIP '#]:[Project Classification 3]],9,FALSE)</f>
        <v>Treatment Plants &amp; Facilities</v>
      </c>
      <c r="I73" s="41" t="str">
        <f>VLOOKUP(PhasesTable[[#This Row],[CIP '#]],ProjectsTable[[CIP '#]:[Project Classification 3]],10,FALSE)</f>
        <v>Springwells</v>
      </c>
      <c r="J73" s="41" t="s">
        <v>201</v>
      </c>
      <c r="K73" s="40" t="s">
        <v>27</v>
      </c>
      <c r="L73" s="41" t="s">
        <v>200</v>
      </c>
      <c r="M73" s="42" t="s">
        <v>27</v>
      </c>
      <c r="N73" s="42" t="s">
        <v>27</v>
      </c>
      <c r="O73" s="129">
        <v>0</v>
      </c>
      <c r="P73" s="130">
        <v>0</v>
      </c>
      <c r="Q73" s="131">
        <v>800</v>
      </c>
      <c r="R73" s="132">
        <v>197</v>
      </c>
      <c r="S73" s="132">
        <v>0</v>
      </c>
      <c r="T73" s="132">
        <v>0</v>
      </c>
      <c r="U73" s="133">
        <v>0</v>
      </c>
      <c r="V73" s="130">
        <v>0</v>
      </c>
      <c r="W73" s="134">
        <f>SUM(Q73:U73)</f>
        <v>997</v>
      </c>
      <c r="X73" s="135">
        <f>SUM(O73:V73)</f>
        <v>997</v>
      </c>
      <c r="Y73" s="15" t="s">
        <v>338</v>
      </c>
      <c r="Z73" s="16" t="s">
        <v>288</v>
      </c>
      <c r="AA73" s="17" t="s">
        <v>335</v>
      </c>
      <c r="AB73" s="66"/>
    </row>
    <row r="74" spans="1:28" s="19" customFormat="1" ht="30" customHeight="1" x14ac:dyDescent="0.45">
      <c r="A74" s="37">
        <v>207</v>
      </c>
      <c r="B74" s="38">
        <v>1267</v>
      </c>
      <c r="C74" s="39" t="s">
        <v>53</v>
      </c>
      <c r="D74" s="38">
        <f>VLOOKUP(PhasesTable[[#This Row],[CIP '#]],ProjectsTable[[CIP '#]:[Project Classification 3]],5,FALSE)</f>
        <v>114</v>
      </c>
      <c r="E74" s="38">
        <f>VLOOKUP(PhasesTable[[#This Row],[CIP '#]],ProjectsTable[[CIP '#]:[Project Classification 3]],6,FALSE)</f>
        <v>114006</v>
      </c>
      <c r="F74" s="40" t="s">
        <v>24</v>
      </c>
      <c r="G74" s="52" t="str">
        <f>VLOOKUP(PhasesTable[[#This Row],[CIP '#]],ProjectsTable[[CIP '#]:[Project Classification 3]],8,FALSE)</f>
        <v>Water</v>
      </c>
      <c r="H74" s="53" t="str">
        <f>VLOOKUP(PhasesTable[[#This Row],[CIP '#]],ProjectsTable[[CIP '#]:[Project Classification 3]],9,FALSE)</f>
        <v>Treatment Plants &amp; Facilities</v>
      </c>
      <c r="I74" s="52" t="str">
        <f>VLOOKUP(PhasesTable[[#This Row],[CIP '#]],ProjectsTable[[CIP '#]:[Project Classification 3]],10,FALSE)</f>
        <v>Springwells</v>
      </c>
      <c r="J74" s="41" t="s">
        <v>199</v>
      </c>
      <c r="K74" s="40" t="s">
        <v>305</v>
      </c>
      <c r="L74" s="41" t="s">
        <v>214</v>
      </c>
      <c r="M74" s="42">
        <v>42772</v>
      </c>
      <c r="N74" s="42">
        <v>43594</v>
      </c>
      <c r="O74" s="137">
        <v>0</v>
      </c>
      <c r="P74" s="130">
        <v>100</v>
      </c>
      <c r="Q74" s="131">
        <v>75</v>
      </c>
      <c r="R74" s="132">
        <v>78</v>
      </c>
      <c r="S74" s="132">
        <v>0</v>
      </c>
      <c r="T74" s="132">
        <v>0</v>
      </c>
      <c r="U74" s="133">
        <v>0</v>
      </c>
      <c r="V74" s="130">
        <v>0</v>
      </c>
      <c r="W74" s="134">
        <f>SUM(Q74:U74)</f>
        <v>153</v>
      </c>
      <c r="X74" s="135">
        <f>SUM(O74:V74)</f>
        <v>253</v>
      </c>
      <c r="Y74" s="15" t="s">
        <v>338</v>
      </c>
      <c r="Z74" s="54" t="s">
        <v>288</v>
      </c>
      <c r="AA74" s="17" t="s">
        <v>335</v>
      </c>
      <c r="AB74" s="66"/>
    </row>
    <row r="75" spans="1:28" s="19" customFormat="1" ht="30" customHeight="1" x14ac:dyDescent="0.45">
      <c r="A75" s="9">
        <v>24</v>
      </c>
      <c r="B75" s="10">
        <v>1268</v>
      </c>
      <c r="C75" s="11" t="s">
        <v>54</v>
      </c>
      <c r="D75" s="9">
        <f>VLOOKUP(PhasesTable[[#This Row],[CIP '#]],ProjectsTable[[CIP '#]:[Project Classification 3]],5,FALSE)</f>
        <v>114</v>
      </c>
      <c r="E75" s="9">
        <f>VLOOKUP(PhasesTable[[#This Row],[CIP '#]],ProjectsTable[[CIP '#]:[Project Classification 3]],6,FALSE)</f>
        <v>114007</v>
      </c>
      <c r="F75" s="12" t="s">
        <v>24</v>
      </c>
      <c r="G75" s="13" t="str">
        <f>VLOOKUP(PhasesTable[[#This Row],[CIP '#]],ProjectsTable[[CIP '#]:[Project Classification 3]],8,FALSE)</f>
        <v>Water</v>
      </c>
      <c r="H75" s="12" t="str">
        <f>VLOOKUP(PhasesTable[[#This Row],[CIP '#]],ProjectsTable[[CIP '#]:[Project Classification 3]],9,FALSE)</f>
        <v>Treatment Plants &amp; Facilities</v>
      </c>
      <c r="I75" s="13" t="str">
        <f>VLOOKUP(PhasesTable[[#This Row],[CIP '#]],ProjectsTable[[CIP '#]:[Project Classification 3]],10,FALSE)</f>
        <v>Springwells</v>
      </c>
      <c r="J75" s="13" t="s">
        <v>208</v>
      </c>
      <c r="K75" s="12" t="s">
        <v>27</v>
      </c>
      <c r="L75" s="13" t="s">
        <v>200</v>
      </c>
      <c r="M75" s="14" t="s">
        <v>27</v>
      </c>
      <c r="N75" s="14" t="s">
        <v>27</v>
      </c>
      <c r="O75" s="110">
        <v>0</v>
      </c>
      <c r="P75" s="111">
        <v>0</v>
      </c>
      <c r="Q75" s="112">
        <v>0</v>
      </c>
      <c r="R75" s="113">
        <v>0</v>
      </c>
      <c r="S75" s="113">
        <v>900</v>
      </c>
      <c r="T75" s="113">
        <v>2000</v>
      </c>
      <c r="U75" s="114">
        <v>0</v>
      </c>
      <c r="V75" s="111">
        <v>0</v>
      </c>
      <c r="W75" s="115">
        <f>SUM(Q75:U75)</f>
        <v>2900</v>
      </c>
      <c r="X75" s="116">
        <f>SUM(O75:V75)</f>
        <v>2900</v>
      </c>
      <c r="Y75" s="15" t="s">
        <v>338</v>
      </c>
      <c r="Z75" s="16" t="s">
        <v>288</v>
      </c>
      <c r="AA75" s="17" t="s">
        <v>335</v>
      </c>
      <c r="AB75" s="50"/>
    </row>
    <row r="76" spans="1:28" s="44" customFormat="1" ht="30" customHeight="1" x14ac:dyDescent="0.45">
      <c r="A76" s="9">
        <v>25</v>
      </c>
      <c r="B76" s="10">
        <v>1269</v>
      </c>
      <c r="C76" s="11" t="s">
        <v>55</v>
      </c>
      <c r="D76" s="9">
        <f>VLOOKUP(PhasesTable[[#This Row],[CIP '#]],ProjectsTable[[CIP '#]:[Project Classification 3]],5,FALSE)</f>
        <v>114</v>
      </c>
      <c r="E76" s="9">
        <f>VLOOKUP(PhasesTable[[#This Row],[CIP '#]],ProjectsTable[[CIP '#]:[Project Classification 3]],6,FALSE)</f>
        <v>114008</v>
      </c>
      <c r="F76" s="12" t="s">
        <v>24</v>
      </c>
      <c r="G76" s="13" t="str">
        <f>VLOOKUP(PhasesTable[[#This Row],[CIP '#]],ProjectsTable[[CIP '#]:[Project Classification 3]],8,FALSE)</f>
        <v>Water</v>
      </c>
      <c r="H76" s="12" t="str">
        <f>VLOOKUP(PhasesTable[[#This Row],[CIP '#]],ProjectsTable[[CIP '#]:[Project Classification 3]],9,FALSE)</f>
        <v>Treatment Plants &amp; Facilities</v>
      </c>
      <c r="I76" s="13" t="str">
        <f>VLOOKUP(PhasesTable[[#This Row],[CIP '#]],ProjectsTable[[CIP '#]:[Project Classification 3]],10,FALSE)</f>
        <v>Springwells</v>
      </c>
      <c r="J76" s="13" t="s">
        <v>208</v>
      </c>
      <c r="K76" s="12" t="s">
        <v>27</v>
      </c>
      <c r="L76" s="13" t="s">
        <v>200</v>
      </c>
      <c r="M76" s="14" t="s">
        <v>27</v>
      </c>
      <c r="N76" s="14" t="s">
        <v>27</v>
      </c>
      <c r="O76" s="110">
        <v>0</v>
      </c>
      <c r="P76" s="111">
        <v>0</v>
      </c>
      <c r="Q76" s="112">
        <v>1200</v>
      </c>
      <c r="R76" s="113">
        <v>2000</v>
      </c>
      <c r="S76" s="113">
        <v>4000</v>
      </c>
      <c r="T76" s="113">
        <v>300</v>
      </c>
      <c r="U76" s="114">
        <v>0</v>
      </c>
      <c r="V76" s="111">
        <v>0</v>
      </c>
      <c r="W76" s="115">
        <f>SUM(Q76:U76)</f>
        <v>7500</v>
      </c>
      <c r="X76" s="116">
        <f>SUM(O76:V76)</f>
        <v>7500</v>
      </c>
      <c r="Y76" s="15" t="s">
        <v>338</v>
      </c>
      <c r="Z76" s="16" t="s">
        <v>288</v>
      </c>
      <c r="AA76" s="17" t="s">
        <v>335</v>
      </c>
      <c r="AB76" s="43"/>
    </row>
    <row r="77" spans="1:28" s="44" customFormat="1" ht="30" customHeight="1" x14ac:dyDescent="0.45">
      <c r="A77" s="9">
        <v>62</v>
      </c>
      <c r="B77" s="10">
        <v>1270</v>
      </c>
      <c r="C77" s="11" t="s">
        <v>102</v>
      </c>
      <c r="D77" s="9">
        <f>VLOOKUP(PhasesTable[[#This Row],[CIP '#]],ProjectsTable[[CIP '#]:[Project Classification 3]],5,FALSE)</f>
        <v>132</v>
      </c>
      <c r="E77" s="9">
        <f>VLOOKUP(PhasesTable[[#This Row],[CIP '#]],ProjectsTable[[CIP '#]:[Project Classification 3]],6,FALSE)</f>
        <v>132003</v>
      </c>
      <c r="F77" s="12" t="s">
        <v>24</v>
      </c>
      <c r="G77" s="13" t="str">
        <f>VLOOKUP(PhasesTable[[#This Row],[CIP '#]],ProjectsTable[[CIP '#]:[Project Classification 3]],8,FALSE)</f>
        <v>Water</v>
      </c>
      <c r="H77" s="12" t="str">
        <f>VLOOKUP(PhasesTable[[#This Row],[CIP '#]],ProjectsTable[[CIP '#]:[Project Classification 3]],9,FALSE)</f>
        <v>SCC</v>
      </c>
      <c r="I77" s="13" t="str">
        <f>VLOOKUP(PhasesTable[[#This Row],[CIP '#]],ProjectsTable[[CIP '#]:[Project Classification 3]],10,FALSE)</f>
        <v>Pump Station/Reservoir</v>
      </c>
      <c r="J77" s="13" t="s">
        <v>199</v>
      </c>
      <c r="K77" s="12" t="s">
        <v>27</v>
      </c>
      <c r="L77" s="13" t="s">
        <v>200</v>
      </c>
      <c r="M77" s="14" t="s">
        <v>27</v>
      </c>
      <c r="N77" s="14" t="s">
        <v>27</v>
      </c>
      <c r="O77" s="110">
        <v>0</v>
      </c>
      <c r="P77" s="111">
        <v>0</v>
      </c>
      <c r="Q77" s="112">
        <v>521</v>
      </c>
      <c r="R77" s="113">
        <v>1000</v>
      </c>
      <c r="S77" s="113">
        <v>0</v>
      </c>
      <c r="T77" s="113">
        <v>0</v>
      </c>
      <c r="U77" s="114">
        <v>0</v>
      </c>
      <c r="V77" s="111">
        <v>0</v>
      </c>
      <c r="W77" s="115">
        <f>SUM(Q77:U77)</f>
        <v>1521</v>
      </c>
      <c r="X77" s="116">
        <f>SUM(O77:V77)</f>
        <v>1521</v>
      </c>
      <c r="Y77" s="15" t="s">
        <v>338</v>
      </c>
      <c r="Z77" s="47" t="s">
        <v>288</v>
      </c>
      <c r="AA77" s="17" t="s">
        <v>335</v>
      </c>
      <c r="AB77" s="67"/>
    </row>
    <row r="78" spans="1:28" s="44" customFormat="1" ht="30" customHeight="1" x14ac:dyDescent="0.45">
      <c r="A78" s="37">
        <v>63</v>
      </c>
      <c r="B78" s="38">
        <v>1271</v>
      </c>
      <c r="C78" s="39" t="s">
        <v>103</v>
      </c>
      <c r="D78" s="37">
        <f>VLOOKUP(PhasesTable[[#This Row],[CIP '#]],ProjectsTable[[CIP '#]:[Project Classification 3]],5,FALSE)</f>
        <v>132</v>
      </c>
      <c r="E78" s="37">
        <f>VLOOKUP(PhasesTable[[#This Row],[CIP '#]],ProjectsTable[[CIP '#]:[Project Classification 3]],6,FALSE)</f>
        <v>132004</v>
      </c>
      <c r="F78" s="40" t="s">
        <v>24</v>
      </c>
      <c r="G78" s="13" t="str">
        <f>VLOOKUP(PhasesTable[[#This Row],[CIP '#]],ProjectsTable[[CIP '#]:[Project Classification 3]],8,FALSE)</f>
        <v>Water</v>
      </c>
      <c r="H78" s="12" t="str">
        <f>VLOOKUP(PhasesTable[[#This Row],[CIP '#]],ProjectsTable[[CIP '#]:[Project Classification 3]],9,FALSE)</f>
        <v>SCC</v>
      </c>
      <c r="I78" s="41" t="str">
        <f>VLOOKUP(PhasesTable[[#This Row],[CIP '#]],ProjectsTable[[CIP '#]:[Project Classification 3]],10,FALSE)</f>
        <v>Pump Station/Reservoir</v>
      </c>
      <c r="J78" s="41" t="s">
        <v>199</v>
      </c>
      <c r="K78" s="40" t="s">
        <v>27</v>
      </c>
      <c r="L78" s="41" t="s">
        <v>200</v>
      </c>
      <c r="M78" s="42" t="s">
        <v>27</v>
      </c>
      <c r="N78" s="42" t="s">
        <v>27</v>
      </c>
      <c r="O78" s="129">
        <v>0</v>
      </c>
      <c r="P78" s="130">
        <v>0</v>
      </c>
      <c r="Q78" s="131">
        <v>500</v>
      </c>
      <c r="R78" s="132">
        <v>2000</v>
      </c>
      <c r="S78" s="132">
        <v>100</v>
      </c>
      <c r="T78" s="132">
        <v>0</v>
      </c>
      <c r="U78" s="133">
        <v>0</v>
      </c>
      <c r="V78" s="130">
        <v>0</v>
      </c>
      <c r="W78" s="134">
        <f>SUM(Q78:U78)</f>
        <v>2600</v>
      </c>
      <c r="X78" s="135">
        <f>SUM(O78:V78)</f>
        <v>2600</v>
      </c>
      <c r="Y78" s="15" t="s">
        <v>338</v>
      </c>
      <c r="Z78" s="47" t="s">
        <v>288</v>
      </c>
      <c r="AA78" s="17" t="s">
        <v>335</v>
      </c>
      <c r="AB78" s="67"/>
    </row>
    <row r="79" spans="1:28" s="44" customFormat="1" ht="30" customHeight="1" x14ac:dyDescent="0.45">
      <c r="A79" s="37">
        <v>64</v>
      </c>
      <c r="B79" s="38">
        <v>1271</v>
      </c>
      <c r="C79" s="39" t="s">
        <v>103</v>
      </c>
      <c r="D79" s="37">
        <f>VLOOKUP(PhasesTable[[#This Row],[CIP '#]],ProjectsTable[[CIP '#]:[Project Classification 3]],5,FALSE)</f>
        <v>132</v>
      </c>
      <c r="E79" s="37">
        <f>VLOOKUP(PhasesTable[[#This Row],[CIP '#]],ProjectsTable[[CIP '#]:[Project Classification 3]],6,FALSE)</f>
        <v>132004</v>
      </c>
      <c r="F79" s="40" t="s">
        <v>24</v>
      </c>
      <c r="G79" s="13" t="str">
        <f>VLOOKUP(PhasesTable[[#This Row],[CIP '#]],ProjectsTable[[CIP '#]:[Project Classification 3]],8,FALSE)</f>
        <v>Water</v>
      </c>
      <c r="H79" s="12" t="str">
        <f>VLOOKUP(PhasesTable[[#This Row],[CIP '#]],ProjectsTable[[CIP '#]:[Project Classification 3]],9,FALSE)</f>
        <v>SCC</v>
      </c>
      <c r="I79" s="41" t="str">
        <f>VLOOKUP(PhasesTable[[#This Row],[CIP '#]],ProjectsTable[[CIP '#]:[Project Classification 3]],10,FALSE)</f>
        <v>Pump Station/Reservoir</v>
      </c>
      <c r="J79" s="41" t="s">
        <v>204</v>
      </c>
      <c r="K79" s="40" t="s">
        <v>325</v>
      </c>
      <c r="L79" s="41" t="s">
        <v>200</v>
      </c>
      <c r="M79" s="42" t="s">
        <v>30</v>
      </c>
      <c r="N79" s="42" t="s">
        <v>30</v>
      </c>
      <c r="O79" s="129">
        <v>0</v>
      </c>
      <c r="P79" s="130">
        <v>200</v>
      </c>
      <c r="Q79" s="131">
        <v>0</v>
      </c>
      <c r="R79" s="132">
        <v>0</v>
      </c>
      <c r="S79" s="132">
        <v>0</v>
      </c>
      <c r="T79" s="132">
        <v>0</v>
      </c>
      <c r="U79" s="133">
        <v>0</v>
      </c>
      <c r="V79" s="130">
        <v>0</v>
      </c>
      <c r="W79" s="134">
        <f>SUM(Q79:U79)</f>
        <v>0</v>
      </c>
      <c r="X79" s="135">
        <f>SUM(O79:V79)</f>
        <v>200</v>
      </c>
      <c r="Y79" s="15" t="s">
        <v>338</v>
      </c>
      <c r="Z79" s="47" t="s">
        <v>287</v>
      </c>
      <c r="AA79" s="17" t="s">
        <v>335</v>
      </c>
      <c r="AB79" s="43"/>
    </row>
    <row r="80" spans="1:28" s="44" customFormat="1" ht="30" customHeight="1" x14ac:dyDescent="0.45">
      <c r="A80" s="9">
        <v>10</v>
      </c>
      <c r="B80" s="10">
        <v>1272</v>
      </c>
      <c r="C80" s="11" t="s">
        <v>37</v>
      </c>
      <c r="D80" s="9">
        <f>VLOOKUP(PhasesTable[[#This Row],[CIP '#]],ProjectsTable[[CIP '#]:[Project Classification 3]],5,FALSE)</f>
        <v>112</v>
      </c>
      <c r="E80" s="9">
        <f>VLOOKUP(PhasesTable[[#This Row],[CIP '#]],ProjectsTable[[CIP '#]:[Project Classification 3]],6,FALSE)</f>
        <v>112001</v>
      </c>
      <c r="F80" s="12" t="s">
        <v>24</v>
      </c>
      <c r="G80" s="13" t="str">
        <f>VLOOKUP(PhasesTable[[#This Row],[CIP '#]],ProjectsTable[[CIP '#]:[Project Classification 3]],8,FALSE)</f>
        <v>Water</v>
      </c>
      <c r="H80" s="12" t="str">
        <f>VLOOKUP(PhasesTable[[#This Row],[CIP '#]],ProjectsTable[[CIP '#]:[Project Classification 3]],9,FALSE)</f>
        <v>Treatment Plants &amp; Facilities</v>
      </c>
      <c r="I80" s="13" t="str">
        <f>VLOOKUP(PhasesTable[[#This Row],[CIP '#]],ProjectsTable[[CIP '#]:[Project Classification 3]],10,FALSE)</f>
        <v>Northeast</v>
      </c>
      <c r="J80" s="13" t="s">
        <v>199</v>
      </c>
      <c r="K80" s="12" t="s">
        <v>27</v>
      </c>
      <c r="L80" s="13" t="s">
        <v>200</v>
      </c>
      <c r="M80" s="14" t="s">
        <v>27</v>
      </c>
      <c r="N80" s="14" t="s">
        <v>27</v>
      </c>
      <c r="O80" s="110">
        <v>0</v>
      </c>
      <c r="P80" s="111">
        <v>0</v>
      </c>
      <c r="Q80" s="112">
        <v>800</v>
      </c>
      <c r="R80" s="113">
        <v>0</v>
      </c>
      <c r="S80" s="113">
        <v>0</v>
      </c>
      <c r="T80" s="113">
        <v>0</v>
      </c>
      <c r="U80" s="114">
        <v>0</v>
      </c>
      <c r="V80" s="111">
        <v>0</v>
      </c>
      <c r="W80" s="115">
        <f>SUM(Q80:U80)</f>
        <v>800</v>
      </c>
      <c r="X80" s="116">
        <f>SUM(O80:V80)</f>
        <v>800</v>
      </c>
      <c r="Y80" s="15" t="s">
        <v>338</v>
      </c>
      <c r="Z80" s="16" t="s">
        <v>288</v>
      </c>
      <c r="AA80" s="17" t="s">
        <v>335</v>
      </c>
      <c r="AB80" s="43"/>
    </row>
    <row r="81" spans="1:28" s="19" customFormat="1" ht="41.65" customHeight="1" x14ac:dyDescent="0.45">
      <c r="A81" s="37">
        <v>223</v>
      </c>
      <c r="B81" s="38">
        <v>1273</v>
      </c>
      <c r="C81" s="39" t="s">
        <v>39</v>
      </c>
      <c r="D81" s="38">
        <f>VLOOKUP(PhasesTable[[#This Row],[CIP '#]],ProjectsTable[[CIP '#]:[Project Classification 3]],5,FALSE)</f>
        <v>112</v>
      </c>
      <c r="E81" s="38">
        <f>VLOOKUP(PhasesTable[[#This Row],[CIP '#]],ProjectsTable[[CIP '#]:[Project Classification 3]],6,FALSE)</f>
        <v>112002</v>
      </c>
      <c r="F81" s="40" t="s">
        <v>24</v>
      </c>
      <c r="G81" s="52" t="str">
        <f>VLOOKUP(PhasesTable[[#This Row],[CIP '#]],ProjectsTable[[CIP '#]:[Project Classification 3]],8,FALSE)</f>
        <v>Water</v>
      </c>
      <c r="H81" s="53" t="str">
        <f>VLOOKUP(PhasesTable[[#This Row],[CIP '#]],ProjectsTable[[CIP '#]:[Project Classification 3]],9,FALSE)</f>
        <v>Treatment Plants &amp; Facilities</v>
      </c>
      <c r="I81" s="52" t="str">
        <f>VLOOKUP(PhasesTable[[#This Row],[CIP '#]],ProjectsTable[[CIP '#]:[Project Classification 3]],10,FALSE)</f>
        <v>Northeast</v>
      </c>
      <c r="J81" s="41" t="s">
        <v>201</v>
      </c>
      <c r="K81" s="40" t="s">
        <v>27</v>
      </c>
      <c r="L81" s="41" t="s">
        <v>200</v>
      </c>
      <c r="M81" s="42" t="s">
        <v>27</v>
      </c>
      <c r="N81" s="42" t="s">
        <v>27</v>
      </c>
      <c r="O81" s="137">
        <v>0</v>
      </c>
      <c r="P81" s="130">
        <v>0</v>
      </c>
      <c r="Q81" s="131">
        <v>1053</v>
      </c>
      <c r="R81" s="132">
        <v>0</v>
      </c>
      <c r="S81" s="132">
        <v>0</v>
      </c>
      <c r="T81" s="132">
        <v>0</v>
      </c>
      <c r="U81" s="133">
        <v>0</v>
      </c>
      <c r="V81" s="130">
        <v>0</v>
      </c>
      <c r="W81" s="134">
        <f>SUM(Q81:U81)</f>
        <v>1053</v>
      </c>
      <c r="X81" s="135">
        <f>SUM(O81:V81)</f>
        <v>1053</v>
      </c>
      <c r="Y81" s="15" t="s">
        <v>339</v>
      </c>
      <c r="Z81" s="47" t="s">
        <v>288</v>
      </c>
      <c r="AA81" s="17" t="s">
        <v>335</v>
      </c>
      <c r="AB81" s="18"/>
    </row>
    <row r="82" spans="1:28" s="19" customFormat="1" ht="30" customHeight="1" x14ac:dyDescent="0.45">
      <c r="A82" s="37">
        <v>11</v>
      </c>
      <c r="B82" s="38">
        <v>1273</v>
      </c>
      <c r="C82" s="39" t="s">
        <v>39</v>
      </c>
      <c r="D82" s="37">
        <f>VLOOKUP(PhasesTable[[#This Row],[CIP '#]],ProjectsTable[[CIP '#]:[Project Classification 3]],5,FALSE)</f>
        <v>112</v>
      </c>
      <c r="E82" s="37">
        <f>VLOOKUP(PhasesTable[[#This Row],[CIP '#]],ProjectsTable[[CIP '#]:[Project Classification 3]],6,FALSE)</f>
        <v>112002</v>
      </c>
      <c r="F82" s="40" t="s">
        <v>24</v>
      </c>
      <c r="G82" s="41" t="str">
        <f>VLOOKUP(PhasesTable[[#This Row],[CIP '#]],ProjectsTable[[CIP '#]:[Project Classification 3]],8,FALSE)</f>
        <v>Water</v>
      </c>
      <c r="H82" s="40" t="str">
        <f>VLOOKUP(PhasesTable[[#This Row],[CIP '#]],ProjectsTable[[CIP '#]:[Project Classification 3]],9,FALSE)</f>
        <v>Treatment Plants &amp; Facilities</v>
      </c>
      <c r="I82" s="41" t="str">
        <f>VLOOKUP(PhasesTable[[#This Row],[CIP '#]],ProjectsTable[[CIP '#]:[Project Classification 3]],10,FALSE)</f>
        <v>Northeast</v>
      </c>
      <c r="J82" s="41" t="s">
        <v>215</v>
      </c>
      <c r="K82" s="40" t="s">
        <v>209</v>
      </c>
      <c r="L82" s="41" t="s">
        <v>214</v>
      </c>
      <c r="M82" s="42" t="s">
        <v>27</v>
      </c>
      <c r="N82" s="42" t="s">
        <v>27</v>
      </c>
      <c r="O82" s="129">
        <v>0</v>
      </c>
      <c r="P82" s="130">
        <v>150</v>
      </c>
      <c r="Q82" s="131">
        <v>130</v>
      </c>
      <c r="R82" s="132">
        <v>0</v>
      </c>
      <c r="S82" s="132">
        <v>0</v>
      </c>
      <c r="T82" s="132">
        <v>0</v>
      </c>
      <c r="U82" s="133">
        <v>0</v>
      </c>
      <c r="V82" s="130">
        <v>0</v>
      </c>
      <c r="W82" s="134">
        <f>SUM(Q82:U82)</f>
        <v>130</v>
      </c>
      <c r="X82" s="135">
        <f>SUM(O82:V82)</f>
        <v>280</v>
      </c>
      <c r="Y82" s="15" t="s">
        <v>338</v>
      </c>
      <c r="Z82" s="16" t="s">
        <v>288</v>
      </c>
      <c r="AA82" s="17" t="s">
        <v>335</v>
      </c>
      <c r="AB82" s="48"/>
    </row>
    <row r="83" spans="1:28" s="44" customFormat="1" ht="30" customHeight="1" x14ac:dyDescent="0.45">
      <c r="A83" s="9">
        <v>34</v>
      </c>
      <c r="B83" s="10">
        <v>1274</v>
      </c>
      <c r="C83" s="11" t="s">
        <v>64</v>
      </c>
      <c r="D83" s="9">
        <f>VLOOKUP(PhasesTable[[#This Row],[CIP '#]],ProjectsTable[[CIP '#]:[Project Classification 3]],5,FALSE)</f>
        <v>115</v>
      </c>
      <c r="E83" s="9">
        <f>VLOOKUP(PhasesTable[[#This Row],[CIP '#]],ProjectsTable[[CIP '#]:[Project Classification 3]],6,FALSE)</f>
        <v>115002</v>
      </c>
      <c r="F83" s="12" t="s">
        <v>24</v>
      </c>
      <c r="G83" s="13" t="str">
        <f>VLOOKUP(PhasesTable[[#This Row],[CIP '#]],ProjectsTable[[CIP '#]:[Project Classification 3]],8,FALSE)</f>
        <v>Water</v>
      </c>
      <c r="H83" s="12" t="str">
        <f>VLOOKUP(PhasesTable[[#This Row],[CIP '#]],ProjectsTable[[CIP '#]:[Project Classification 3]],9,FALSE)</f>
        <v>Treatment Plants &amp; Facilities</v>
      </c>
      <c r="I83" s="13" t="str">
        <f>VLOOKUP(PhasesTable[[#This Row],[CIP '#]],ProjectsTable[[CIP '#]:[Project Classification 3]],10,FALSE)</f>
        <v>Water Works Park</v>
      </c>
      <c r="J83" s="13" t="s">
        <v>201</v>
      </c>
      <c r="K83" s="12" t="s">
        <v>223</v>
      </c>
      <c r="L83" s="13" t="s">
        <v>200</v>
      </c>
      <c r="M83" s="14">
        <v>42566</v>
      </c>
      <c r="N83" s="14">
        <v>42986</v>
      </c>
      <c r="O83" s="110">
        <v>760.94894999999997</v>
      </c>
      <c r="P83" s="111">
        <v>2275</v>
      </c>
      <c r="Q83" s="112">
        <v>0</v>
      </c>
      <c r="R83" s="113">
        <v>0</v>
      </c>
      <c r="S83" s="113">
        <v>0</v>
      </c>
      <c r="T83" s="113">
        <v>0</v>
      </c>
      <c r="U83" s="114">
        <v>0</v>
      </c>
      <c r="V83" s="111">
        <v>0</v>
      </c>
      <c r="W83" s="115">
        <f>SUM(Q83:U83)</f>
        <v>0</v>
      </c>
      <c r="X83" s="116">
        <f>SUM(O83:V83)</f>
        <v>3035.94895</v>
      </c>
      <c r="Y83" s="15" t="s">
        <v>338</v>
      </c>
      <c r="Z83" s="16" t="s">
        <v>286</v>
      </c>
      <c r="AA83" s="17" t="s">
        <v>335</v>
      </c>
      <c r="AB83" s="67"/>
    </row>
    <row r="84" spans="1:28" s="44" customFormat="1" ht="30" customHeight="1" x14ac:dyDescent="0.45">
      <c r="A84" s="9">
        <v>13</v>
      </c>
      <c r="B84" s="10">
        <v>1277</v>
      </c>
      <c r="C84" s="11" t="s">
        <v>42</v>
      </c>
      <c r="D84" s="9">
        <f>VLOOKUP(PhasesTable[[#This Row],[CIP '#]],ProjectsTable[[CIP '#]:[Project Classification 3]],5,FALSE)</f>
        <v>113</v>
      </c>
      <c r="E84" s="9">
        <f>VLOOKUP(PhasesTable[[#This Row],[CIP '#]],ProjectsTable[[CIP '#]:[Project Classification 3]],6,FALSE)</f>
        <v>113002</v>
      </c>
      <c r="F84" s="12" t="s">
        <v>24</v>
      </c>
      <c r="G84" s="13" t="str">
        <f>VLOOKUP(PhasesTable[[#This Row],[CIP '#]],ProjectsTable[[CIP '#]:[Project Classification 3]],8,FALSE)</f>
        <v>Water</v>
      </c>
      <c r="H84" s="12" t="str">
        <f>VLOOKUP(PhasesTable[[#This Row],[CIP '#]],ProjectsTable[[CIP '#]:[Project Classification 3]],9,FALSE)</f>
        <v>Treatment Plants &amp; Facilities</v>
      </c>
      <c r="I84" s="13" t="str">
        <f>VLOOKUP(PhasesTable[[#This Row],[CIP '#]],ProjectsTable[[CIP '#]:[Project Classification 3]],10,FALSE)</f>
        <v>Southwest</v>
      </c>
      <c r="J84" s="13" t="s">
        <v>199</v>
      </c>
      <c r="K84" s="12" t="s">
        <v>27</v>
      </c>
      <c r="L84" s="13" t="s">
        <v>200</v>
      </c>
      <c r="M84" s="14" t="s">
        <v>27</v>
      </c>
      <c r="N84" s="14" t="s">
        <v>27</v>
      </c>
      <c r="O84" s="110">
        <v>0</v>
      </c>
      <c r="P84" s="111">
        <v>160</v>
      </c>
      <c r="Q84" s="112">
        <v>160</v>
      </c>
      <c r="R84" s="113">
        <v>900</v>
      </c>
      <c r="S84" s="113">
        <v>900</v>
      </c>
      <c r="T84" s="113">
        <v>0</v>
      </c>
      <c r="U84" s="114">
        <v>0</v>
      </c>
      <c r="V84" s="111">
        <v>0</v>
      </c>
      <c r="W84" s="115">
        <f>SUM(Q84:U84)</f>
        <v>1960</v>
      </c>
      <c r="X84" s="116">
        <f>SUM(O84:V84)</f>
        <v>2120</v>
      </c>
      <c r="Y84" s="15" t="s">
        <v>338</v>
      </c>
      <c r="Z84" s="16" t="s">
        <v>288</v>
      </c>
      <c r="AA84" s="17" t="s">
        <v>335</v>
      </c>
      <c r="AB84" s="68"/>
    </row>
    <row r="85" spans="1:28" s="44" customFormat="1" ht="30" customHeight="1" x14ac:dyDescent="0.45">
      <c r="A85" s="9">
        <v>78</v>
      </c>
      <c r="B85" s="10">
        <v>1279</v>
      </c>
      <c r="C85" s="11" t="s">
        <v>176</v>
      </c>
      <c r="D85" s="9">
        <f>VLOOKUP(PhasesTable[[#This Row],[CIP '#]],ProjectsTable[[CIP '#]:[Project Classification 3]],5,FALSE)</f>
        <v>331</v>
      </c>
      <c r="E85" s="9">
        <f>VLOOKUP(PhasesTable[[#This Row],[CIP '#]],ProjectsTable[[CIP '#]:[Project Classification 3]],6,FALSE)</f>
        <v>331001</v>
      </c>
      <c r="F85" s="12" t="s">
        <v>24</v>
      </c>
      <c r="G85" s="13" t="str">
        <f>VLOOKUP(PhasesTable[[#This Row],[CIP '#]],ProjectsTable[[CIP '#]:[Project Classification 3]],8,FALSE)</f>
        <v>Centralized Services</v>
      </c>
      <c r="H85" s="12" t="str">
        <f>VLOOKUP(PhasesTable[[#This Row],[CIP '#]],ProjectsTable[[CIP '#]:[Project Classification 3]],9,FALSE)</f>
        <v>Facilities</v>
      </c>
      <c r="I85" s="13" t="str">
        <f>VLOOKUP(PhasesTable[[#This Row],[CIP '#]],ProjectsTable[[CIP '#]:[Project Classification 3]],10,FALSE)</f>
        <v>General Purpose</v>
      </c>
      <c r="J85" s="13" t="s">
        <v>208</v>
      </c>
      <c r="K85" s="12" t="s">
        <v>27</v>
      </c>
      <c r="L85" s="13" t="s">
        <v>200</v>
      </c>
      <c r="M85" s="14" t="s">
        <v>27</v>
      </c>
      <c r="N85" s="14" t="s">
        <v>27</v>
      </c>
      <c r="O85" s="110">
        <v>0</v>
      </c>
      <c r="P85" s="111">
        <v>3000</v>
      </c>
      <c r="Q85" s="112">
        <v>3000</v>
      </c>
      <c r="R85" s="113">
        <v>3000</v>
      </c>
      <c r="S85" s="113">
        <v>2500</v>
      </c>
      <c r="T85" s="113">
        <v>0</v>
      </c>
      <c r="U85" s="114">
        <v>0</v>
      </c>
      <c r="V85" s="111">
        <v>0</v>
      </c>
      <c r="W85" s="115">
        <f>SUM(Q85:U85)</f>
        <v>8500</v>
      </c>
      <c r="X85" s="116">
        <f>SUM(O85:V85)</f>
        <v>11500</v>
      </c>
      <c r="Y85" s="15" t="s">
        <v>338</v>
      </c>
      <c r="Z85" s="47" t="s">
        <v>288</v>
      </c>
      <c r="AA85" s="17" t="s">
        <v>335</v>
      </c>
      <c r="AB85" s="67"/>
    </row>
    <row r="86" spans="1:28" s="44" customFormat="1" ht="30" customHeight="1" x14ac:dyDescent="0.45">
      <c r="A86" s="37">
        <v>2</v>
      </c>
      <c r="B86" s="38">
        <v>1280</v>
      </c>
      <c r="C86" s="39" t="s">
        <v>29</v>
      </c>
      <c r="D86" s="37">
        <f>VLOOKUP(PhasesTable[[#This Row],[CIP '#]],ProjectsTable[[CIP '#]:[Project Classification 3]],5,FALSE)</f>
        <v>111</v>
      </c>
      <c r="E86" s="37">
        <f>VLOOKUP(PhasesTable[[#This Row],[CIP '#]],ProjectsTable[[CIP '#]:[Project Classification 3]],6,FALSE)</f>
        <v>111002</v>
      </c>
      <c r="F86" s="40" t="s">
        <v>24</v>
      </c>
      <c r="G86" s="13" t="str">
        <f>VLOOKUP(PhasesTable[[#This Row],[CIP '#]],ProjectsTable[[CIP '#]:[Project Classification 3]],8,FALSE)</f>
        <v>Water</v>
      </c>
      <c r="H86" s="12" t="str">
        <f>VLOOKUP(PhasesTable[[#This Row],[CIP '#]],ProjectsTable[[CIP '#]:[Project Classification 3]],9,FALSE)</f>
        <v>Treatment Plants &amp; Facilities</v>
      </c>
      <c r="I86" s="41" t="str">
        <f>VLOOKUP(PhasesTable[[#This Row],[CIP '#]],ProjectsTable[[CIP '#]:[Project Classification 3]],10,FALSE)</f>
        <v>Lake Huron</v>
      </c>
      <c r="J86" s="41" t="s">
        <v>201</v>
      </c>
      <c r="K86" s="40" t="s">
        <v>27</v>
      </c>
      <c r="L86" s="41" t="s">
        <v>200</v>
      </c>
      <c r="M86" s="42" t="s">
        <v>27</v>
      </c>
      <c r="N86" s="42" t="s">
        <v>27</v>
      </c>
      <c r="O86" s="129">
        <v>0</v>
      </c>
      <c r="P86" s="130">
        <v>0</v>
      </c>
      <c r="Q86" s="131">
        <v>800</v>
      </c>
      <c r="R86" s="132">
        <v>3000</v>
      </c>
      <c r="S86" s="132">
        <v>3000</v>
      </c>
      <c r="T86" s="132">
        <v>400</v>
      </c>
      <c r="U86" s="133">
        <v>0</v>
      </c>
      <c r="V86" s="130">
        <v>0</v>
      </c>
      <c r="W86" s="134">
        <f>SUM(Q86:U86)</f>
        <v>7200</v>
      </c>
      <c r="X86" s="135">
        <f>SUM(O86:V86)</f>
        <v>7200</v>
      </c>
      <c r="Y86" s="15" t="s">
        <v>338</v>
      </c>
      <c r="Z86" s="16" t="s">
        <v>288</v>
      </c>
      <c r="AA86" s="17" t="s">
        <v>335</v>
      </c>
      <c r="AB86" s="67"/>
    </row>
    <row r="87" spans="1:28" s="19" customFormat="1" ht="30" customHeight="1" x14ac:dyDescent="0.45">
      <c r="A87" s="37">
        <v>3</v>
      </c>
      <c r="B87" s="38">
        <v>1280</v>
      </c>
      <c r="C87" s="39" t="s">
        <v>29</v>
      </c>
      <c r="D87" s="37">
        <f>VLOOKUP(PhasesTable[[#This Row],[CIP '#]],ProjectsTable[[CIP '#]:[Project Classification 3]],5,FALSE)</f>
        <v>111</v>
      </c>
      <c r="E87" s="37">
        <f>VLOOKUP(PhasesTable[[#This Row],[CIP '#]],ProjectsTable[[CIP '#]:[Project Classification 3]],6,FALSE)</f>
        <v>111002</v>
      </c>
      <c r="F87" s="40" t="s">
        <v>24</v>
      </c>
      <c r="G87" s="13" t="str">
        <f>VLOOKUP(PhasesTable[[#This Row],[CIP '#]],ProjectsTable[[CIP '#]:[Project Classification 3]],8,FALSE)</f>
        <v>Water</v>
      </c>
      <c r="H87" s="12" t="str">
        <f>VLOOKUP(PhasesTable[[#This Row],[CIP '#]],ProjectsTable[[CIP '#]:[Project Classification 3]],9,FALSE)</f>
        <v>Treatment Plants &amp; Facilities</v>
      </c>
      <c r="I87" s="41" t="str">
        <f>VLOOKUP(PhasesTable[[#This Row],[CIP '#]],ProjectsTable[[CIP '#]:[Project Classification 3]],10,FALSE)</f>
        <v>Lake Huron</v>
      </c>
      <c r="J87" s="41" t="s">
        <v>215</v>
      </c>
      <c r="K87" s="40" t="s">
        <v>203</v>
      </c>
      <c r="L87" s="41" t="s">
        <v>214</v>
      </c>
      <c r="M87" s="42" t="s">
        <v>30</v>
      </c>
      <c r="N87" s="42" t="s">
        <v>30</v>
      </c>
      <c r="O87" s="129">
        <v>0</v>
      </c>
      <c r="P87" s="130">
        <v>250</v>
      </c>
      <c r="Q87" s="131">
        <v>150</v>
      </c>
      <c r="R87" s="132">
        <v>130</v>
      </c>
      <c r="S87" s="132">
        <v>50</v>
      </c>
      <c r="T87" s="132">
        <v>22</v>
      </c>
      <c r="U87" s="133">
        <v>0</v>
      </c>
      <c r="V87" s="130">
        <v>0</v>
      </c>
      <c r="W87" s="134">
        <f>SUM(Q87:U87)</f>
        <v>352</v>
      </c>
      <c r="X87" s="135">
        <f>SUM(O87:V87)</f>
        <v>602</v>
      </c>
      <c r="Y87" s="15" t="s">
        <v>338</v>
      </c>
      <c r="Z87" s="16" t="s">
        <v>288</v>
      </c>
      <c r="AA87" s="17" t="s">
        <v>335</v>
      </c>
      <c r="AB87" s="18"/>
    </row>
    <row r="88" spans="1:28" s="44" customFormat="1" ht="30" customHeight="1" x14ac:dyDescent="0.45">
      <c r="A88" s="37">
        <v>203</v>
      </c>
      <c r="B88" s="38">
        <v>1280</v>
      </c>
      <c r="C88" s="39" t="s">
        <v>29</v>
      </c>
      <c r="D88" s="38">
        <f>VLOOKUP(PhasesTable[[#This Row],[CIP '#]],ProjectsTable[[CIP '#]:[Project Classification 3]],5,FALSE)</f>
        <v>111</v>
      </c>
      <c r="E88" s="38">
        <f>VLOOKUP(PhasesTable[[#This Row],[CIP '#]],ProjectsTable[[CIP '#]:[Project Classification 3]],6,FALSE)</f>
        <v>111002</v>
      </c>
      <c r="F88" s="40" t="s">
        <v>24</v>
      </c>
      <c r="G88" s="52" t="str">
        <f>VLOOKUP(PhasesTable[[#This Row],[CIP '#]],ProjectsTable[[CIP '#]:[Project Classification 3]],8,FALSE)</f>
        <v>Water</v>
      </c>
      <c r="H88" s="53" t="str">
        <f>VLOOKUP(PhasesTable[[#This Row],[CIP '#]],ProjectsTable[[CIP '#]:[Project Classification 3]],9,FALSE)</f>
        <v>Treatment Plants &amp; Facilities</v>
      </c>
      <c r="I88" s="52" t="str">
        <f>VLOOKUP(PhasesTable[[#This Row],[CIP '#]],ProjectsTable[[CIP '#]:[Project Classification 3]],10,FALSE)</f>
        <v>Lake Huron</v>
      </c>
      <c r="J88" s="41" t="s">
        <v>201</v>
      </c>
      <c r="K88" s="40" t="s">
        <v>27</v>
      </c>
      <c r="L88" s="41" t="s">
        <v>222</v>
      </c>
      <c r="M88" s="42" t="s">
        <v>27</v>
      </c>
      <c r="N88" s="42" t="s">
        <v>27</v>
      </c>
      <c r="O88" s="137">
        <v>0</v>
      </c>
      <c r="P88" s="130">
        <v>20</v>
      </c>
      <c r="Q88" s="131">
        <v>80</v>
      </c>
      <c r="R88" s="132">
        <v>0</v>
      </c>
      <c r="S88" s="132">
        <v>0</v>
      </c>
      <c r="T88" s="132">
        <v>0</v>
      </c>
      <c r="U88" s="133">
        <v>0</v>
      </c>
      <c r="V88" s="130"/>
      <c r="W88" s="134">
        <f>SUM(Q88:U88)</f>
        <v>80</v>
      </c>
      <c r="X88" s="135">
        <f>SUM(O88:V88)</f>
        <v>100</v>
      </c>
      <c r="Y88" s="15" t="s">
        <v>338</v>
      </c>
      <c r="Z88" s="54" t="s">
        <v>288</v>
      </c>
      <c r="AA88" s="17" t="s">
        <v>335</v>
      </c>
      <c r="AB88" s="68"/>
    </row>
    <row r="89" spans="1:28" s="19" customFormat="1" ht="30" customHeight="1" x14ac:dyDescent="0.45">
      <c r="A89" s="9">
        <v>14</v>
      </c>
      <c r="B89" s="10">
        <v>1283</v>
      </c>
      <c r="C89" s="11" t="s">
        <v>43</v>
      </c>
      <c r="D89" s="9">
        <f>VLOOKUP(PhasesTable[[#This Row],[CIP '#]],ProjectsTable[[CIP '#]:[Project Classification 3]],5,FALSE)</f>
        <v>113</v>
      </c>
      <c r="E89" s="9">
        <f>VLOOKUP(PhasesTable[[#This Row],[CIP '#]],ProjectsTable[[CIP '#]:[Project Classification 3]],6,FALSE)</f>
        <v>113003</v>
      </c>
      <c r="F89" s="12" t="s">
        <v>24</v>
      </c>
      <c r="G89" s="13" t="str">
        <f>VLOOKUP(PhasesTable[[#This Row],[CIP '#]],ProjectsTable[[CIP '#]:[Project Classification 3]],8,FALSE)</f>
        <v>Water</v>
      </c>
      <c r="H89" s="12" t="str">
        <f>VLOOKUP(PhasesTable[[#This Row],[CIP '#]],ProjectsTable[[CIP '#]:[Project Classification 3]],9,FALSE)</f>
        <v>Treatment Plants &amp; Facilities</v>
      </c>
      <c r="I89" s="13" t="str">
        <f>VLOOKUP(PhasesTable[[#This Row],[CIP '#]],ProjectsTable[[CIP '#]:[Project Classification 3]],10,FALSE)</f>
        <v>Southwest</v>
      </c>
      <c r="J89" s="13" t="s">
        <v>208</v>
      </c>
      <c r="K89" s="12" t="s">
        <v>27</v>
      </c>
      <c r="L89" s="13" t="s">
        <v>200</v>
      </c>
      <c r="M89" s="14" t="s">
        <v>27</v>
      </c>
      <c r="N89" s="14" t="s">
        <v>27</v>
      </c>
      <c r="O89" s="110">
        <v>0</v>
      </c>
      <c r="P89" s="111">
        <v>0</v>
      </c>
      <c r="Q89" s="112">
        <v>0</v>
      </c>
      <c r="R89" s="113">
        <v>0</v>
      </c>
      <c r="S89" s="113">
        <v>0</v>
      </c>
      <c r="T89" s="113">
        <v>0</v>
      </c>
      <c r="U89" s="114">
        <v>0</v>
      </c>
      <c r="V89" s="111">
        <v>2940</v>
      </c>
      <c r="W89" s="115">
        <f>SUM(Q89:U89)</f>
        <v>0</v>
      </c>
      <c r="X89" s="116">
        <f>SUM(O89:V89)</f>
        <v>2940</v>
      </c>
      <c r="Y89" s="15" t="s">
        <v>338</v>
      </c>
      <c r="Z89" s="16" t="s">
        <v>288</v>
      </c>
      <c r="AA89" s="17" t="s">
        <v>335</v>
      </c>
      <c r="AB89" s="50"/>
    </row>
    <row r="90" spans="1:28" s="18" customFormat="1" ht="30" customHeight="1" x14ac:dyDescent="0.45">
      <c r="A90" s="29">
        <v>125</v>
      </c>
      <c r="B90" s="30">
        <v>1284</v>
      </c>
      <c r="C90" s="31" t="s">
        <v>299</v>
      </c>
      <c r="D90" s="29">
        <f>VLOOKUP(PhasesTable[[#This Row],[CIP '#]],ProjectsTable[[CIP '#]:[Project Classification 3]],5,FALSE)</f>
        <v>213</v>
      </c>
      <c r="E90" s="29">
        <f>VLOOKUP(PhasesTable[[#This Row],[CIP '#]],ProjectsTable[[CIP '#]:[Project Classification 3]],6,FALSE)</f>
        <v>213005</v>
      </c>
      <c r="F90" s="32" t="s">
        <v>119</v>
      </c>
      <c r="G90" s="23" t="str">
        <f>VLOOKUP(PhasesTable[[#This Row],[CIP '#]],ProjectsTable[[CIP '#]:[Project Classification 3]],8,FALSE)</f>
        <v>Wastewater</v>
      </c>
      <c r="H90" s="24" t="str">
        <f>VLOOKUP(PhasesTable[[#This Row],[CIP '#]],ProjectsTable[[CIP '#]:[Project Classification 3]],9,FALSE)</f>
        <v>WRRF</v>
      </c>
      <c r="I90" s="33" t="str">
        <f>VLOOKUP(PhasesTable[[#This Row],[CIP '#]],ProjectsTable[[CIP '#]:[Project Classification 3]],10,FALSE)</f>
        <v>Residuals Management</v>
      </c>
      <c r="J90" s="32" t="s">
        <v>217</v>
      </c>
      <c r="K90" s="34" t="s">
        <v>27</v>
      </c>
      <c r="L90" s="32" t="s">
        <v>200</v>
      </c>
      <c r="M90" s="35" t="s">
        <v>27</v>
      </c>
      <c r="N90" s="35" t="s">
        <v>27</v>
      </c>
      <c r="O90" s="123">
        <v>0</v>
      </c>
      <c r="P90" s="123">
        <v>0</v>
      </c>
      <c r="Q90" s="124">
        <v>800</v>
      </c>
      <c r="R90" s="125">
        <v>200</v>
      </c>
      <c r="S90" s="125">
        <v>0</v>
      </c>
      <c r="T90" s="125">
        <v>0</v>
      </c>
      <c r="U90" s="126">
        <v>0</v>
      </c>
      <c r="V90" s="123">
        <v>0</v>
      </c>
      <c r="W90" s="127">
        <f>SUM(Q90:U90)</f>
        <v>1000</v>
      </c>
      <c r="X90" s="128">
        <f>SUM(O90:V90)</f>
        <v>1000</v>
      </c>
      <c r="Y90" s="26" t="s">
        <v>338</v>
      </c>
      <c r="Z90" s="36" t="s">
        <v>288</v>
      </c>
      <c r="AA90" s="28" t="s">
        <v>335</v>
      </c>
    </row>
    <row r="91" spans="1:28" s="18" customFormat="1" ht="30" customHeight="1" x14ac:dyDescent="0.45">
      <c r="A91" s="29">
        <v>124</v>
      </c>
      <c r="B91" s="30">
        <v>1284</v>
      </c>
      <c r="C91" s="31" t="s">
        <v>299</v>
      </c>
      <c r="D91" s="29">
        <f>VLOOKUP(PhasesTable[[#This Row],[CIP '#]],ProjectsTable[[CIP '#]:[Project Classification 3]],5,FALSE)</f>
        <v>213</v>
      </c>
      <c r="E91" s="29">
        <f>VLOOKUP(PhasesTable[[#This Row],[CIP '#]],ProjectsTable[[CIP '#]:[Project Classification 3]],6,FALSE)</f>
        <v>213005</v>
      </c>
      <c r="F91" s="32" t="s">
        <v>119</v>
      </c>
      <c r="G91" s="23" t="str">
        <f>VLOOKUP(PhasesTable[[#This Row],[CIP '#]],ProjectsTable[[CIP '#]:[Project Classification 3]],8,FALSE)</f>
        <v>Wastewater</v>
      </c>
      <c r="H91" s="24" t="str">
        <f>VLOOKUP(PhasesTable[[#This Row],[CIP '#]],ProjectsTable[[CIP '#]:[Project Classification 3]],9,FALSE)</f>
        <v>WRRF</v>
      </c>
      <c r="I91" s="33" t="str">
        <f>VLOOKUP(PhasesTable[[#This Row],[CIP '#]],ProjectsTable[[CIP '#]:[Project Classification 3]],10,FALSE)</f>
        <v>Residuals Management</v>
      </c>
      <c r="J91" s="32" t="s">
        <v>217</v>
      </c>
      <c r="K91" s="34" t="s">
        <v>27</v>
      </c>
      <c r="L91" s="32" t="s">
        <v>200</v>
      </c>
      <c r="M91" s="35" t="s">
        <v>27</v>
      </c>
      <c r="N91" s="35" t="s">
        <v>27</v>
      </c>
      <c r="O91" s="123">
        <v>0</v>
      </c>
      <c r="P91" s="123">
        <v>0</v>
      </c>
      <c r="Q91" s="124">
        <v>100</v>
      </c>
      <c r="R91" s="125">
        <v>0</v>
      </c>
      <c r="S91" s="125">
        <v>0</v>
      </c>
      <c r="T91" s="125">
        <v>0</v>
      </c>
      <c r="U91" s="126">
        <v>0</v>
      </c>
      <c r="V91" s="123">
        <v>0</v>
      </c>
      <c r="W91" s="127">
        <f>SUM(Q91:U91)</f>
        <v>100</v>
      </c>
      <c r="X91" s="128">
        <f>SUM(O91:V91)</f>
        <v>100</v>
      </c>
      <c r="Y91" s="26" t="s">
        <v>338</v>
      </c>
      <c r="Z91" s="36" t="s">
        <v>288</v>
      </c>
      <c r="AA91" s="28" t="s">
        <v>335</v>
      </c>
    </row>
    <row r="92" spans="1:28" s="18" customFormat="1" ht="30" customHeight="1" x14ac:dyDescent="0.45">
      <c r="A92" s="20">
        <v>130</v>
      </c>
      <c r="B92" s="21">
        <v>1285</v>
      </c>
      <c r="C92" s="22" t="s">
        <v>148</v>
      </c>
      <c r="D92" s="20">
        <f>VLOOKUP(PhasesTable[[#This Row],[CIP '#]],ProjectsTable[[CIP '#]:[Project Classification 3]],5,FALSE)</f>
        <v>214</v>
      </c>
      <c r="E92" s="20">
        <f>VLOOKUP(PhasesTable[[#This Row],[CIP '#]],ProjectsTable[[CIP '#]:[Project Classification 3]],6,FALSE)</f>
        <v>214001</v>
      </c>
      <c r="F92" s="23" t="s">
        <v>119</v>
      </c>
      <c r="G92" s="23" t="str">
        <f>VLOOKUP(PhasesTable[[#This Row],[CIP '#]],ProjectsTable[[CIP '#]:[Project Classification 3]],8,FALSE)</f>
        <v>Wastewater</v>
      </c>
      <c r="H92" s="24" t="str">
        <f>VLOOKUP(PhasesTable[[#This Row],[CIP '#]],ProjectsTable[[CIP '#]:[Project Classification 3]],9,FALSE)</f>
        <v>WRRF</v>
      </c>
      <c r="I92" s="24" t="str">
        <f>VLOOKUP(PhasesTable[[#This Row],[CIP '#]],ProjectsTable[[CIP '#]:[Project Classification 3]],10,FALSE)</f>
        <v>IWC</v>
      </c>
      <c r="J92" s="23" t="s">
        <v>201</v>
      </c>
      <c r="K92" s="55" t="s">
        <v>27</v>
      </c>
      <c r="L92" s="23" t="s">
        <v>200</v>
      </c>
      <c r="M92" s="25" t="s">
        <v>27</v>
      </c>
      <c r="N92" s="25" t="s">
        <v>27</v>
      </c>
      <c r="O92" s="117">
        <v>0</v>
      </c>
      <c r="P92" s="117">
        <v>0</v>
      </c>
      <c r="Q92" s="118">
        <v>5000</v>
      </c>
      <c r="R92" s="119">
        <v>2000</v>
      </c>
      <c r="S92" s="119">
        <v>0</v>
      </c>
      <c r="T92" s="119">
        <v>0</v>
      </c>
      <c r="U92" s="120">
        <v>0</v>
      </c>
      <c r="V92" s="117">
        <v>0</v>
      </c>
      <c r="W92" s="121">
        <f>SUM(Q92:U92)</f>
        <v>7000</v>
      </c>
      <c r="X92" s="122">
        <f>SUM(O92:V92)</f>
        <v>7000</v>
      </c>
      <c r="Y92" s="26" t="s">
        <v>338</v>
      </c>
      <c r="Z92" s="36" t="s">
        <v>288</v>
      </c>
      <c r="AA92" s="28" t="s">
        <v>149</v>
      </c>
    </row>
    <row r="93" spans="1:28" s="18" customFormat="1" ht="30" customHeight="1" x14ac:dyDescent="0.45">
      <c r="A93" s="29">
        <v>150</v>
      </c>
      <c r="B93" s="30">
        <v>1286</v>
      </c>
      <c r="C93" s="31" t="s">
        <v>159</v>
      </c>
      <c r="D93" s="29">
        <f>VLOOKUP(PhasesTable[[#This Row],[CIP '#]],ProjectsTable[[CIP '#]:[Project Classification 3]],5,FALSE)</f>
        <v>222</v>
      </c>
      <c r="E93" s="29">
        <f>VLOOKUP(PhasesTable[[#This Row],[CIP '#]],ProjectsTable[[CIP '#]:[Project Classification 3]],6,FALSE)</f>
        <v>222001</v>
      </c>
      <c r="F93" s="32" t="s">
        <v>119</v>
      </c>
      <c r="G93" s="23" t="str">
        <f>VLOOKUP(PhasesTable[[#This Row],[CIP '#]],ProjectsTable[[CIP '#]:[Project Classification 3]],8,FALSE)</f>
        <v>Wastewater</v>
      </c>
      <c r="H93" s="24" t="str">
        <f>VLOOKUP(PhasesTable[[#This Row],[CIP '#]],ProjectsTable[[CIP '#]:[Project Classification 3]],9,FALSE)</f>
        <v>Field Services</v>
      </c>
      <c r="I93" s="33" t="str">
        <f>VLOOKUP(PhasesTable[[#This Row],[CIP '#]],ProjectsTable[[CIP '#]:[Project Classification 3]],10,FALSE)</f>
        <v>Interceptors</v>
      </c>
      <c r="J93" s="32" t="s">
        <v>201</v>
      </c>
      <c r="K93" s="34" t="s">
        <v>27</v>
      </c>
      <c r="L93" s="32" t="s">
        <v>200</v>
      </c>
      <c r="M93" s="35" t="s">
        <v>27</v>
      </c>
      <c r="N93" s="35" t="s">
        <v>27</v>
      </c>
      <c r="O93" s="123">
        <v>0</v>
      </c>
      <c r="P93" s="123">
        <v>0</v>
      </c>
      <c r="Q93" s="124">
        <v>0</v>
      </c>
      <c r="R93" s="125">
        <v>0</v>
      </c>
      <c r="S93" s="125">
        <v>2400</v>
      </c>
      <c r="T93" s="125">
        <v>5300</v>
      </c>
      <c r="U93" s="126">
        <v>2100</v>
      </c>
      <c r="V93" s="123">
        <v>0</v>
      </c>
      <c r="W93" s="127">
        <f>SUM(Q93:U93)</f>
        <v>9800</v>
      </c>
      <c r="X93" s="128">
        <f>SUM(O93:V93)</f>
        <v>9800</v>
      </c>
      <c r="Y93" s="26" t="s">
        <v>338</v>
      </c>
      <c r="Z93" s="36" t="s">
        <v>286</v>
      </c>
      <c r="AA93" s="28" t="s">
        <v>335</v>
      </c>
    </row>
    <row r="94" spans="1:28" s="43" customFormat="1" ht="30" customHeight="1" x14ac:dyDescent="0.45">
      <c r="A94" s="29">
        <v>151</v>
      </c>
      <c r="B94" s="30">
        <v>1286</v>
      </c>
      <c r="C94" s="31" t="s">
        <v>159</v>
      </c>
      <c r="D94" s="29">
        <f>VLOOKUP(PhasesTable[[#This Row],[CIP '#]],ProjectsTable[[CIP '#]:[Project Classification 3]],5,FALSE)</f>
        <v>222</v>
      </c>
      <c r="E94" s="29">
        <f>VLOOKUP(PhasesTable[[#This Row],[CIP '#]],ProjectsTable[[CIP '#]:[Project Classification 3]],6,FALSE)</f>
        <v>222001</v>
      </c>
      <c r="F94" s="32" t="s">
        <v>119</v>
      </c>
      <c r="G94" s="23" t="str">
        <f>VLOOKUP(PhasesTable[[#This Row],[CIP '#]],ProjectsTable[[CIP '#]:[Project Classification 3]],8,FALSE)</f>
        <v>Wastewater</v>
      </c>
      <c r="H94" s="24" t="str">
        <f>VLOOKUP(PhasesTable[[#This Row],[CIP '#]],ProjectsTable[[CIP '#]:[Project Classification 3]],9,FALSE)</f>
        <v>Field Services</v>
      </c>
      <c r="I94" s="33" t="str">
        <f>VLOOKUP(PhasesTable[[#This Row],[CIP '#]],ProjectsTable[[CIP '#]:[Project Classification 3]],10,FALSE)</f>
        <v>Interceptors</v>
      </c>
      <c r="J94" s="32" t="s">
        <v>215</v>
      </c>
      <c r="K94" s="34" t="s">
        <v>27</v>
      </c>
      <c r="L94" s="32" t="s">
        <v>200</v>
      </c>
      <c r="M94" s="35" t="s">
        <v>27</v>
      </c>
      <c r="N94" s="35" t="s">
        <v>27</v>
      </c>
      <c r="O94" s="123">
        <v>0</v>
      </c>
      <c r="P94" s="123">
        <v>0</v>
      </c>
      <c r="Q94" s="124">
        <v>0</v>
      </c>
      <c r="R94" s="125">
        <v>550</v>
      </c>
      <c r="S94" s="125">
        <v>350</v>
      </c>
      <c r="T94" s="125">
        <v>200</v>
      </c>
      <c r="U94" s="126">
        <v>100</v>
      </c>
      <c r="V94" s="123">
        <v>0</v>
      </c>
      <c r="W94" s="127">
        <f>SUM(Q94:U94)</f>
        <v>1200</v>
      </c>
      <c r="X94" s="128">
        <f>SUM(O94:V94)</f>
        <v>1200</v>
      </c>
      <c r="Y94" s="26" t="s">
        <v>338</v>
      </c>
      <c r="Z94" s="36" t="s">
        <v>286</v>
      </c>
      <c r="AA94" s="28" t="s">
        <v>335</v>
      </c>
    </row>
    <row r="95" spans="1:28" s="43" customFormat="1" ht="30" customHeight="1" x14ac:dyDescent="0.45">
      <c r="A95" s="29">
        <v>99</v>
      </c>
      <c r="B95" s="30">
        <v>1287</v>
      </c>
      <c r="C95" s="31" t="s">
        <v>293</v>
      </c>
      <c r="D95" s="29">
        <f>VLOOKUP(PhasesTable[[#This Row],[CIP '#]],ProjectsTable[[CIP '#]:[Project Classification 3]],5,FALSE)</f>
        <v>211</v>
      </c>
      <c r="E95" s="29">
        <f>VLOOKUP(PhasesTable[[#This Row],[CIP '#]],ProjectsTable[[CIP '#]:[Project Classification 3]],6,FALSE)</f>
        <v>211005</v>
      </c>
      <c r="F95" s="32" t="s">
        <v>119</v>
      </c>
      <c r="G95" s="23" t="str">
        <f>VLOOKUP(PhasesTable[[#This Row],[CIP '#]],ProjectsTable[[CIP '#]:[Project Classification 3]],8,FALSE)</f>
        <v>Wastewater</v>
      </c>
      <c r="H95" s="24" t="str">
        <f>VLOOKUP(PhasesTable[[#This Row],[CIP '#]],ProjectsTable[[CIP '#]:[Project Classification 3]],9,FALSE)</f>
        <v>WRRF</v>
      </c>
      <c r="I95" s="33" t="str">
        <f>VLOOKUP(PhasesTable[[#This Row],[CIP '#]],ProjectsTable[[CIP '#]:[Project Classification 3]],10,FALSE)</f>
        <v>Primary Treatment</v>
      </c>
      <c r="J95" s="32" t="s">
        <v>215</v>
      </c>
      <c r="K95" s="34" t="s">
        <v>27</v>
      </c>
      <c r="L95" s="32" t="s">
        <v>200</v>
      </c>
      <c r="M95" s="35" t="s">
        <v>27</v>
      </c>
      <c r="N95" s="35" t="s">
        <v>27</v>
      </c>
      <c r="O95" s="123">
        <v>0</v>
      </c>
      <c r="P95" s="123">
        <v>0</v>
      </c>
      <c r="Q95" s="124">
        <v>600</v>
      </c>
      <c r="R95" s="125">
        <v>300</v>
      </c>
      <c r="S95" s="125">
        <v>300</v>
      </c>
      <c r="T95" s="125">
        <v>200</v>
      </c>
      <c r="U95" s="126">
        <v>0</v>
      </c>
      <c r="V95" s="123">
        <v>0</v>
      </c>
      <c r="W95" s="127">
        <f>SUM(Q95:U95)</f>
        <v>1400</v>
      </c>
      <c r="X95" s="128">
        <f>SUM(O95:V95)</f>
        <v>1400</v>
      </c>
      <c r="Y95" s="26" t="s">
        <v>338</v>
      </c>
      <c r="Z95" s="36" t="s">
        <v>288</v>
      </c>
      <c r="AA95" s="28" t="s">
        <v>335</v>
      </c>
    </row>
    <row r="96" spans="1:28" s="18" customFormat="1" ht="30" customHeight="1" x14ac:dyDescent="0.45">
      <c r="A96" s="29">
        <v>98</v>
      </c>
      <c r="B96" s="30">
        <v>1287</v>
      </c>
      <c r="C96" s="31" t="s">
        <v>293</v>
      </c>
      <c r="D96" s="29">
        <f>VLOOKUP(PhasesTable[[#This Row],[CIP '#]],ProjectsTable[[CIP '#]:[Project Classification 3]],5,FALSE)</f>
        <v>211</v>
      </c>
      <c r="E96" s="29">
        <f>VLOOKUP(PhasesTable[[#This Row],[CIP '#]],ProjectsTable[[CIP '#]:[Project Classification 3]],6,FALSE)</f>
        <v>211005</v>
      </c>
      <c r="F96" s="32" t="s">
        <v>119</v>
      </c>
      <c r="G96" s="23" t="str">
        <f>VLOOKUP(PhasesTable[[#This Row],[CIP '#]],ProjectsTable[[CIP '#]:[Project Classification 3]],8,FALSE)</f>
        <v>Wastewater</v>
      </c>
      <c r="H96" s="24" t="str">
        <f>VLOOKUP(PhasesTable[[#This Row],[CIP '#]],ProjectsTable[[CIP '#]:[Project Classification 3]],9,FALSE)</f>
        <v>WRRF</v>
      </c>
      <c r="I96" s="33" t="str">
        <f>VLOOKUP(PhasesTable[[#This Row],[CIP '#]],ProjectsTable[[CIP '#]:[Project Classification 3]],10,FALSE)</f>
        <v>Primary Treatment</v>
      </c>
      <c r="J96" s="32" t="s">
        <v>201</v>
      </c>
      <c r="K96" s="33" t="s">
        <v>27</v>
      </c>
      <c r="L96" s="32" t="s">
        <v>200</v>
      </c>
      <c r="M96" s="35" t="s">
        <v>27</v>
      </c>
      <c r="N96" s="35" t="s">
        <v>27</v>
      </c>
      <c r="O96" s="123">
        <v>0</v>
      </c>
      <c r="P96" s="123">
        <v>0</v>
      </c>
      <c r="Q96" s="124">
        <v>0</v>
      </c>
      <c r="R96" s="125">
        <v>1400</v>
      </c>
      <c r="S96" s="125">
        <v>4500</v>
      </c>
      <c r="T96" s="125">
        <v>3500</v>
      </c>
      <c r="U96" s="126">
        <v>0</v>
      </c>
      <c r="V96" s="123">
        <v>0</v>
      </c>
      <c r="W96" s="127">
        <f>SUM(Q96:U96)</f>
        <v>9400</v>
      </c>
      <c r="X96" s="128">
        <f>SUM(O96:V96)</f>
        <v>9400</v>
      </c>
      <c r="Y96" s="26" t="s">
        <v>338</v>
      </c>
      <c r="Z96" s="36" t="s">
        <v>288</v>
      </c>
      <c r="AA96" s="28" t="s">
        <v>335</v>
      </c>
    </row>
    <row r="97" spans="1:28" s="19" customFormat="1" ht="30" customHeight="1" x14ac:dyDescent="0.45">
      <c r="A97" s="9">
        <v>65</v>
      </c>
      <c r="B97" s="10">
        <v>1288</v>
      </c>
      <c r="C97" s="11" t="s">
        <v>104</v>
      </c>
      <c r="D97" s="9">
        <f>VLOOKUP(PhasesTable[[#This Row],[CIP '#]],ProjectsTable[[CIP '#]:[Project Classification 3]],5,FALSE)</f>
        <v>132</v>
      </c>
      <c r="E97" s="9">
        <f>VLOOKUP(PhasesTable[[#This Row],[CIP '#]],ProjectsTable[[CIP '#]:[Project Classification 3]],6,FALSE)</f>
        <v>132005</v>
      </c>
      <c r="F97" s="12" t="s">
        <v>24</v>
      </c>
      <c r="G97" s="13" t="str">
        <f>VLOOKUP(PhasesTable[[#This Row],[CIP '#]],ProjectsTable[[CIP '#]:[Project Classification 3]],8,FALSE)</f>
        <v>Water</v>
      </c>
      <c r="H97" s="12" t="str">
        <f>VLOOKUP(PhasesTable[[#This Row],[CIP '#]],ProjectsTable[[CIP '#]:[Project Classification 3]],9,FALSE)</f>
        <v>SCC</v>
      </c>
      <c r="I97" s="13" t="str">
        <f>VLOOKUP(PhasesTable[[#This Row],[CIP '#]],ProjectsTable[[CIP '#]:[Project Classification 3]],10,FALSE)</f>
        <v>Pump Station/Reservoir</v>
      </c>
      <c r="J97" s="13" t="s">
        <v>204</v>
      </c>
      <c r="K97" s="12" t="s">
        <v>27</v>
      </c>
      <c r="L97" s="13" t="s">
        <v>200</v>
      </c>
      <c r="M97" s="14" t="s">
        <v>27</v>
      </c>
      <c r="N97" s="14" t="s">
        <v>27</v>
      </c>
      <c r="O97" s="110">
        <v>0</v>
      </c>
      <c r="P97" s="111">
        <v>0</v>
      </c>
      <c r="Q97" s="112">
        <v>125</v>
      </c>
      <c r="R97" s="113">
        <v>125</v>
      </c>
      <c r="S97" s="113">
        <v>0</v>
      </c>
      <c r="T97" s="113">
        <v>0</v>
      </c>
      <c r="U97" s="114">
        <v>0</v>
      </c>
      <c r="V97" s="111">
        <v>0</v>
      </c>
      <c r="W97" s="115">
        <f>SUM(Q97:U97)</f>
        <v>250</v>
      </c>
      <c r="X97" s="116">
        <f>SUM(O97:V97)</f>
        <v>250</v>
      </c>
      <c r="Y97" s="15" t="s">
        <v>338</v>
      </c>
      <c r="Z97" s="47" t="s">
        <v>287</v>
      </c>
      <c r="AA97" s="17" t="s">
        <v>335</v>
      </c>
      <c r="AB97" s="50"/>
    </row>
    <row r="98" spans="1:28" s="19" customFormat="1" ht="30" customHeight="1" x14ac:dyDescent="0.45">
      <c r="A98" s="9">
        <v>4</v>
      </c>
      <c r="B98" s="10">
        <v>1289</v>
      </c>
      <c r="C98" s="11" t="s">
        <v>31</v>
      </c>
      <c r="D98" s="9">
        <f>VLOOKUP(PhasesTable[[#This Row],[CIP '#]],ProjectsTable[[CIP '#]:[Project Classification 3]],5,FALSE)</f>
        <v>111</v>
      </c>
      <c r="E98" s="9">
        <f>VLOOKUP(PhasesTable[[#This Row],[CIP '#]],ProjectsTable[[CIP '#]:[Project Classification 3]],6,FALSE)</f>
        <v>111003</v>
      </c>
      <c r="F98" s="12" t="s">
        <v>24</v>
      </c>
      <c r="G98" s="13" t="str">
        <f>VLOOKUP(PhasesTable[[#This Row],[CIP '#]],ProjectsTable[[CIP '#]:[Project Classification 3]],8,FALSE)</f>
        <v>Water</v>
      </c>
      <c r="H98" s="12" t="str">
        <f>VLOOKUP(PhasesTable[[#This Row],[CIP '#]],ProjectsTable[[CIP '#]:[Project Classification 3]],9,FALSE)</f>
        <v>Treatment Plants &amp; Facilities</v>
      </c>
      <c r="I98" s="13" t="str">
        <f>VLOOKUP(PhasesTable[[#This Row],[CIP '#]],ProjectsTable[[CIP '#]:[Project Classification 3]],10,FALSE)</f>
        <v>Lake Huron</v>
      </c>
      <c r="J98" s="13" t="s">
        <v>204</v>
      </c>
      <c r="K98" s="12" t="s">
        <v>27</v>
      </c>
      <c r="L98" s="13" t="s">
        <v>200</v>
      </c>
      <c r="M98" s="14" t="s">
        <v>27</v>
      </c>
      <c r="N98" s="14" t="s">
        <v>27</v>
      </c>
      <c r="O98" s="110">
        <v>0</v>
      </c>
      <c r="P98" s="111">
        <v>0</v>
      </c>
      <c r="Q98" s="112">
        <v>125</v>
      </c>
      <c r="R98" s="113">
        <v>0</v>
      </c>
      <c r="S98" s="113">
        <v>0</v>
      </c>
      <c r="T98" s="113">
        <v>0</v>
      </c>
      <c r="U98" s="114">
        <v>0</v>
      </c>
      <c r="V98" s="111">
        <v>0</v>
      </c>
      <c r="W98" s="115">
        <f>SUM(Q98:U98)</f>
        <v>125</v>
      </c>
      <c r="X98" s="116">
        <f>SUM(O98:V98)</f>
        <v>125</v>
      </c>
      <c r="Y98" s="15" t="s">
        <v>338</v>
      </c>
      <c r="Z98" s="16" t="s">
        <v>287</v>
      </c>
      <c r="AA98" s="17" t="s">
        <v>335</v>
      </c>
      <c r="AB98" s="50"/>
    </row>
    <row r="99" spans="1:28" s="19" customFormat="1" ht="30" customHeight="1" x14ac:dyDescent="0.45">
      <c r="A99" s="9">
        <v>76</v>
      </c>
      <c r="B99" s="10">
        <v>1291</v>
      </c>
      <c r="C99" s="11" t="s">
        <v>117</v>
      </c>
      <c r="D99" s="9">
        <f>VLOOKUP(PhasesTable[[#This Row],[CIP '#]],ProjectsTable[[CIP '#]:[Project Classification 3]],5,FALSE)</f>
        <v>1702</v>
      </c>
      <c r="E99" s="9">
        <f>VLOOKUP(PhasesTable[[#This Row],[CIP '#]],ProjectsTable[[CIP '#]:[Project Classification 3]],6,FALSE)</f>
        <v>170200</v>
      </c>
      <c r="F99" s="12" t="s">
        <v>24</v>
      </c>
      <c r="G99" s="13" t="str">
        <f>VLOOKUP(PhasesTable[[#This Row],[CIP '#]],ProjectsTable[[CIP '#]:[Project Classification 3]],8,FALSE)</f>
        <v>Water</v>
      </c>
      <c r="H99" s="12" t="str">
        <f>VLOOKUP(PhasesTable[[#This Row],[CIP '#]],ProjectsTable[[CIP '#]:[Project Classification 3]],9,FALSE)</f>
        <v>Programs</v>
      </c>
      <c r="I99" s="13" t="str">
        <f>VLOOKUP(PhasesTable[[#This Row],[CIP '#]],ProjectsTable[[CIP '#]:[Project Classification 3]],10,FALSE)</f>
        <v>Programs</v>
      </c>
      <c r="J99" s="13" t="s">
        <v>215</v>
      </c>
      <c r="K99" s="12" t="s">
        <v>239</v>
      </c>
      <c r="L99" s="13" t="s">
        <v>200</v>
      </c>
      <c r="M99" s="14" t="s">
        <v>30</v>
      </c>
      <c r="N99" s="14" t="s">
        <v>30</v>
      </c>
      <c r="O99" s="110">
        <v>0</v>
      </c>
      <c r="P99" s="111">
        <v>0</v>
      </c>
      <c r="Q99" s="112">
        <v>500</v>
      </c>
      <c r="R99" s="113">
        <v>500</v>
      </c>
      <c r="S99" s="113">
        <v>500</v>
      </c>
      <c r="T99" s="113">
        <v>0</v>
      </c>
      <c r="U99" s="114">
        <v>0</v>
      </c>
      <c r="V99" s="111">
        <v>0</v>
      </c>
      <c r="W99" s="115">
        <f>SUM(Q99:U99)</f>
        <v>1500</v>
      </c>
      <c r="X99" s="116">
        <f>SUM(O99:V99)</f>
        <v>1500</v>
      </c>
      <c r="Y99" s="15" t="s">
        <v>338</v>
      </c>
      <c r="Z99" s="47" t="s">
        <v>288</v>
      </c>
      <c r="AA99" s="17" t="s">
        <v>335</v>
      </c>
      <c r="AB99" s="50"/>
    </row>
    <row r="100" spans="1:28" s="19" customFormat="1" ht="30" customHeight="1" x14ac:dyDescent="0.45">
      <c r="A100" s="9">
        <v>36</v>
      </c>
      <c r="B100" s="10">
        <v>1292</v>
      </c>
      <c r="C100" s="11" t="s">
        <v>66</v>
      </c>
      <c r="D100" s="9">
        <f>VLOOKUP(PhasesTable[[#This Row],[CIP '#]],ProjectsTable[[CIP '#]:[Project Classification 3]],5,FALSE)</f>
        <v>116</v>
      </c>
      <c r="E100" s="9">
        <f>VLOOKUP(PhasesTable[[#This Row],[CIP '#]],ProjectsTable[[CIP '#]:[Project Classification 3]],6,FALSE)</f>
        <v>116001</v>
      </c>
      <c r="F100" s="12" t="s">
        <v>24</v>
      </c>
      <c r="G100" s="13" t="str">
        <f>VLOOKUP(PhasesTable[[#This Row],[CIP '#]],ProjectsTable[[CIP '#]:[Project Classification 3]],8,FALSE)</f>
        <v>Water</v>
      </c>
      <c r="H100" s="12" t="str">
        <f>VLOOKUP(PhasesTable[[#This Row],[CIP '#]],ProjectsTable[[CIP '#]:[Project Classification 3]],9,FALSE)</f>
        <v>Treatment Plants &amp; Facilities</v>
      </c>
      <c r="I100" s="12" t="str">
        <f>VLOOKUP(PhasesTable[[#This Row],[CIP '#]],ProjectsTable[[CIP '#]:[Project Classification 3]],10,FALSE)</f>
        <v>General Purpose</v>
      </c>
      <c r="J100" s="13" t="s">
        <v>224</v>
      </c>
      <c r="K100" s="12" t="s">
        <v>27</v>
      </c>
      <c r="L100" s="13" t="s">
        <v>200</v>
      </c>
      <c r="M100" s="14" t="s">
        <v>30</v>
      </c>
      <c r="N100" s="14" t="s">
        <v>30</v>
      </c>
      <c r="O100" s="110">
        <v>0</v>
      </c>
      <c r="P100" s="111">
        <v>0</v>
      </c>
      <c r="Q100" s="112">
        <v>1000</v>
      </c>
      <c r="R100" s="113">
        <v>1000</v>
      </c>
      <c r="S100" s="113">
        <v>500</v>
      </c>
      <c r="T100" s="113">
        <v>0</v>
      </c>
      <c r="U100" s="114">
        <v>0</v>
      </c>
      <c r="V100" s="111">
        <v>0</v>
      </c>
      <c r="W100" s="115">
        <f>SUM(Q100:U100)</f>
        <v>2500</v>
      </c>
      <c r="X100" s="116">
        <f>SUM(O100:V100)</f>
        <v>2500</v>
      </c>
      <c r="Y100" s="15" t="s">
        <v>338</v>
      </c>
      <c r="Z100" s="16" t="s">
        <v>288</v>
      </c>
      <c r="AA100" s="17" t="s">
        <v>335</v>
      </c>
      <c r="AB100" s="50"/>
    </row>
    <row r="101" spans="1:28" s="44" customFormat="1" ht="30" customHeight="1" x14ac:dyDescent="0.45">
      <c r="A101" s="37">
        <v>66</v>
      </c>
      <c r="B101" s="38">
        <v>1293</v>
      </c>
      <c r="C101" s="39" t="s">
        <v>105</v>
      </c>
      <c r="D101" s="37">
        <f>VLOOKUP(PhasesTable[[#This Row],[CIP '#]],ProjectsTable[[CIP '#]:[Project Classification 3]],5,FALSE)</f>
        <v>132</v>
      </c>
      <c r="E101" s="37">
        <f>VLOOKUP(PhasesTable[[#This Row],[CIP '#]],ProjectsTable[[CIP '#]:[Project Classification 3]],6,FALSE)</f>
        <v>132006</v>
      </c>
      <c r="F101" s="40" t="s">
        <v>24</v>
      </c>
      <c r="G101" s="41" t="str">
        <f>VLOOKUP(PhasesTable[[#This Row],[CIP '#]],ProjectsTable[[CIP '#]:[Project Classification 3]],8,FALSE)</f>
        <v>Water</v>
      </c>
      <c r="H101" s="40" t="str">
        <f>VLOOKUP(PhasesTable[[#This Row],[CIP '#]],ProjectsTable[[CIP '#]:[Project Classification 3]],9,FALSE)</f>
        <v>SCC</v>
      </c>
      <c r="I101" s="41" t="str">
        <f>VLOOKUP(PhasesTable[[#This Row],[CIP '#]],ProjectsTable[[CIP '#]:[Project Classification 3]],10,FALSE)</f>
        <v>Pump Station/Reservoir</v>
      </c>
      <c r="J101" s="41" t="s">
        <v>215</v>
      </c>
      <c r="K101" s="40" t="s">
        <v>237</v>
      </c>
      <c r="L101" s="41" t="s">
        <v>222</v>
      </c>
      <c r="M101" s="42" t="s">
        <v>30</v>
      </c>
      <c r="N101" s="42" t="s">
        <v>30</v>
      </c>
      <c r="O101" s="129">
        <v>0</v>
      </c>
      <c r="P101" s="130">
        <v>0</v>
      </c>
      <c r="Q101" s="131">
        <v>200</v>
      </c>
      <c r="R101" s="132">
        <v>250</v>
      </c>
      <c r="S101" s="132">
        <v>0</v>
      </c>
      <c r="T101" s="132">
        <v>0</v>
      </c>
      <c r="U101" s="133">
        <v>0</v>
      </c>
      <c r="V101" s="130">
        <v>0</v>
      </c>
      <c r="W101" s="134">
        <f>SUM(Q101:U101)</f>
        <v>450</v>
      </c>
      <c r="X101" s="135">
        <f>SUM(O101:V101)</f>
        <v>450</v>
      </c>
      <c r="Y101" s="15" t="s">
        <v>339</v>
      </c>
      <c r="Z101" s="54" t="s">
        <v>287</v>
      </c>
      <c r="AA101" s="17" t="s">
        <v>335</v>
      </c>
      <c r="AB101" s="67"/>
    </row>
    <row r="102" spans="1:28" s="44" customFormat="1" ht="30" customHeight="1" x14ac:dyDescent="0.45">
      <c r="A102" s="51">
        <v>220</v>
      </c>
      <c r="B102" s="38">
        <v>1293</v>
      </c>
      <c r="C102" s="39" t="s">
        <v>105</v>
      </c>
      <c r="D102" s="38">
        <f>VLOOKUP(PhasesTable[[#This Row],[CIP '#]],ProjectsTable[[CIP '#]:[Project Classification 3]],5,FALSE)</f>
        <v>132</v>
      </c>
      <c r="E102" s="38">
        <f>VLOOKUP(PhasesTable[[#This Row],[CIP '#]],ProjectsTable[[CIP '#]:[Project Classification 3]],6,FALSE)</f>
        <v>132006</v>
      </c>
      <c r="F102" s="40" t="s">
        <v>24</v>
      </c>
      <c r="G102" s="52" t="str">
        <f>VLOOKUP(PhasesTable[[#This Row],[CIP '#]],ProjectsTable[[CIP '#]:[Project Classification 3]],8,FALSE)</f>
        <v>Water</v>
      </c>
      <c r="H102" s="53" t="str">
        <f>VLOOKUP(PhasesTable[[#This Row],[CIP '#]],ProjectsTable[[CIP '#]:[Project Classification 3]],9,FALSE)</f>
        <v>SCC</v>
      </c>
      <c r="I102" s="52" t="str">
        <f>VLOOKUP(PhasesTable[[#This Row],[CIP '#]],ProjectsTable[[CIP '#]:[Project Classification 3]],10,FALSE)</f>
        <v>Pump Station/Reservoir</v>
      </c>
      <c r="J102" s="41" t="s">
        <v>201</v>
      </c>
      <c r="K102" s="40" t="s">
        <v>27</v>
      </c>
      <c r="L102" s="41" t="s">
        <v>200</v>
      </c>
      <c r="M102" s="42" t="s">
        <v>27</v>
      </c>
      <c r="N102" s="42" t="s">
        <v>27</v>
      </c>
      <c r="O102" s="137">
        <v>0</v>
      </c>
      <c r="P102" s="130">
        <v>0</v>
      </c>
      <c r="Q102" s="131">
        <v>0</v>
      </c>
      <c r="R102" s="132">
        <v>2550</v>
      </c>
      <c r="S102" s="132">
        <v>0</v>
      </c>
      <c r="T102" s="132">
        <v>0</v>
      </c>
      <c r="U102" s="133">
        <v>0</v>
      </c>
      <c r="V102" s="130">
        <v>0</v>
      </c>
      <c r="W102" s="134">
        <f>SUM(Q102:U102)</f>
        <v>2550</v>
      </c>
      <c r="X102" s="135">
        <f>SUM(O102:V102)</f>
        <v>2550</v>
      </c>
      <c r="Y102" s="15" t="s">
        <v>339</v>
      </c>
      <c r="Z102" s="54" t="s">
        <v>287</v>
      </c>
      <c r="AA102" s="17" t="s">
        <v>335</v>
      </c>
      <c r="AB102" s="68"/>
    </row>
    <row r="103" spans="1:28" s="44" customFormat="1" ht="30" customHeight="1" x14ac:dyDescent="0.45">
      <c r="A103" s="9">
        <v>67</v>
      </c>
      <c r="B103" s="10">
        <v>1294</v>
      </c>
      <c r="C103" s="11" t="s">
        <v>106</v>
      </c>
      <c r="D103" s="9">
        <f>VLOOKUP(PhasesTable[[#This Row],[CIP '#]],ProjectsTable[[CIP '#]:[Project Classification 3]],5,FALSE)</f>
        <v>132</v>
      </c>
      <c r="E103" s="9">
        <f>VLOOKUP(PhasesTable[[#This Row],[CIP '#]],ProjectsTable[[CIP '#]:[Project Classification 3]],6,FALSE)</f>
        <v>132007</v>
      </c>
      <c r="F103" s="12" t="s">
        <v>24</v>
      </c>
      <c r="G103" s="13" t="str">
        <f>VLOOKUP(PhasesTable[[#This Row],[CIP '#]],ProjectsTable[[CIP '#]:[Project Classification 3]],8,FALSE)</f>
        <v>Water</v>
      </c>
      <c r="H103" s="12" t="str">
        <f>VLOOKUP(PhasesTable[[#This Row],[CIP '#]],ProjectsTable[[CIP '#]:[Project Classification 3]],9,FALSE)</f>
        <v>SCC</v>
      </c>
      <c r="I103" s="13" t="str">
        <f>VLOOKUP(PhasesTable[[#This Row],[CIP '#]],ProjectsTable[[CIP '#]:[Project Classification 3]],10,FALSE)</f>
        <v>Pump Station/Reservoir</v>
      </c>
      <c r="J103" s="13" t="s">
        <v>199</v>
      </c>
      <c r="K103" s="12" t="s">
        <v>27</v>
      </c>
      <c r="L103" s="13" t="s">
        <v>200</v>
      </c>
      <c r="M103" s="14" t="s">
        <v>27</v>
      </c>
      <c r="N103" s="14" t="s">
        <v>27</v>
      </c>
      <c r="O103" s="110">
        <v>0</v>
      </c>
      <c r="P103" s="111">
        <v>0</v>
      </c>
      <c r="Q103" s="112">
        <v>200</v>
      </c>
      <c r="R103" s="113">
        <v>500</v>
      </c>
      <c r="S103" s="113">
        <v>300</v>
      </c>
      <c r="T103" s="113">
        <v>0</v>
      </c>
      <c r="U103" s="114">
        <v>0</v>
      </c>
      <c r="V103" s="111">
        <v>0</v>
      </c>
      <c r="W103" s="115">
        <f>SUM(Q103:U103)</f>
        <v>1000</v>
      </c>
      <c r="X103" s="116">
        <f>SUM(O103:V103)</f>
        <v>1000</v>
      </c>
      <c r="Y103" s="15" t="s">
        <v>338</v>
      </c>
      <c r="Z103" s="47" t="s">
        <v>288</v>
      </c>
      <c r="AA103" s="17" t="s">
        <v>335</v>
      </c>
      <c r="AB103" s="67"/>
    </row>
    <row r="104" spans="1:28" s="44" customFormat="1" ht="30" customHeight="1" x14ac:dyDescent="0.45">
      <c r="A104" s="9">
        <v>26</v>
      </c>
      <c r="B104" s="10">
        <v>1295</v>
      </c>
      <c r="C104" s="11" t="s">
        <v>56</v>
      </c>
      <c r="D104" s="9">
        <f>VLOOKUP(PhasesTable[[#This Row],[CIP '#]],ProjectsTable[[CIP '#]:[Project Classification 3]],5,FALSE)</f>
        <v>114</v>
      </c>
      <c r="E104" s="9">
        <f>VLOOKUP(PhasesTable[[#This Row],[CIP '#]],ProjectsTable[[CIP '#]:[Project Classification 3]],6,FALSE)</f>
        <v>114009</v>
      </c>
      <c r="F104" s="12" t="s">
        <v>24</v>
      </c>
      <c r="G104" s="13" t="str">
        <f>VLOOKUP(PhasesTable[[#This Row],[CIP '#]],ProjectsTable[[CIP '#]:[Project Classification 3]],8,FALSE)</f>
        <v>Water</v>
      </c>
      <c r="H104" s="12" t="str">
        <f>VLOOKUP(PhasesTable[[#This Row],[CIP '#]],ProjectsTable[[CIP '#]:[Project Classification 3]],9,FALSE)</f>
        <v>Treatment Plants &amp; Facilities</v>
      </c>
      <c r="I104" s="13" t="str">
        <f>VLOOKUP(PhasesTable[[#This Row],[CIP '#]],ProjectsTable[[CIP '#]:[Project Classification 3]],10,FALSE)</f>
        <v>Springwells</v>
      </c>
      <c r="J104" s="13" t="s">
        <v>204</v>
      </c>
      <c r="K104" s="12" t="s">
        <v>219</v>
      </c>
      <c r="L104" s="13" t="s">
        <v>200</v>
      </c>
      <c r="M104" s="14" t="s">
        <v>30</v>
      </c>
      <c r="N104" s="14" t="s">
        <v>30</v>
      </c>
      <c r="O104" s="110">
        <v>0</v>
      </c>
      <c r="P104" s="111">
        <v>450</v>
      </c>
      <c r="Q104" s="112">
        <v>0</v>
      </c>
      <c r="R104" s="113">
        <v>0</v>
      </c>
      <c r="S104" s="113">
        <v>0</v>
      </c>
      <c r="T104" s="113">
        <v>0</v>
      </c>
      <c r="U104" s="114">
        <v>0</v>
      </c>
      <c r="V104" s="111">
        <v>0</v>
      </c>
      <c r="W104" s="115">
        <f>SUM(Q104:U104)</f>
        <v>0</v>
      </c>
      <c r="X104" s="116">
        <f>SUM(O104:V104)</f>
        <v>450</v>
      </c>
      <c r="Y104" s="15" t="s">
        <v>338</v>
      </c>
      <c r="Z104" s="16" t="s">
        <v>287</v>
      </c>
      <c r="AA104" s="17" t="s">
        <v>335</v>
      </c>
      <c r="AB104" s="67"/>
    </row>
    <row r="105" spans="1:28" s="19" customFormat="1" ht="30" customHeight="1" x14ac:dyDescent="0.45">
      <c r="A105" s="9">
        <v>68</v>
      </c>
      <c r="B105" s="10">
        <v>1296</v>
      </c>
      <c r="C105" s="11" t="s">
        <v>107</v>
      </c>
      <c r="D105" s="9">
        <f>VLOOKUP(PhasesTable[[#This Row],[CIP '#]],ProjectsTable[[CIP '#]:[Project Classification 3]],5,FALSE)</f>
        <v>132</v>
      </c>
      <c r="E105" s="9">
        <f>VLOOKUP(PhasesTable[[#This Row],[CIP '#]],ProjectsTable[[CIP '#]:[Project Classification 3]],6,FALSE)</f>
        <v>132008</v>
      </c>
      <c r="F105" s="12" t="s">
        <v>24</v>
      </c>
      <c r="G105" s="13" t="str">
        <f>VLOOKUP(PhasesTable[[#This Row],[CIP '#]],ProjectsTable[[CIP '#]:[Project Classification 3]],8,FALSE)</f>
        <v>Water</v>
      </c>
      <c r="H105" s="12" t="str">
        <f>VLOOKUP(PhasesTable[[#This Row],[CIP '#]],ProjectsTable[[CIP '#]:[Project Classification 3]],9,FALSE)</f>
        <v>SCC</v>
      </c>
      <c r="I105" s="13" t="str">
        <f>VLOOKUP(PhasesTable[[#This Row],[CIP '#]],ProjectsTable[[CIP '#]:[Project Classification 3]],10,FALSE)</f>
        <v>Pump Station/Reservoir</v>
      </c>
      <c r="J105" s="13" t="s">
        <v>204</v>
      </c>
      <c r="K105" s="12" t="s">
        <v>326</v>
      </c>
      <c r="L105" s="13" t="s">
        <v>200</v>
      </c>
      <c r="M105" s="14">
        <v>42526</v>
      </c>
      <c r="N105" s="14">
        <v>42917</v>
      </c>
      <c r="O105" s="110">
        <v>0</v>
      </c>
      <c r="P105" s="111">
        <v>500</v>
      </c>
      <c r="Q105" s="112">
        <v>1200</v>
      </c>
      <c r="R105" s="113">
        <v>0</v>
      </c>
      <c r="S105" s="113">
        <v>0</v>
      </c>
      <c r="T105" s="113">
        <v>0</v>
      </c>
      <c r="U105" s="114">
        <v>0</v>
      </c>
      <c r="V105" s="111">
        <v>0</v>
      </c>
      <c r="W105" s="115">
        <f>SUM(Q105:U105)</f>
        <v>1200</v>
      </c>
      <c r="X105" s="116">
        <f>SUM(O105:V105)</f>
        <v>1700</v>
      </c>
      <c r="Y105" s="15" t="s">
        <v>338</v>
      </c>
      <c r="Z105" s="47" t="s">
        <v>287</v>
      </c>
      <c r="AA105" s="17" t="s">
        <v>335</v>
      </c>
      <c r="AB105" s="50"/>
    </row>
    <row r="106" spans="1:28" s="19" customFormat="1" ht="30" customHeight="1" x14ac:dyDescent="0.45">
      <c r="A106" s="37">
        <v>15</v>
      </c>
      <c r="B106" s="38">
        <v>1297</v>
      </c>
      <c r="C106" s="39" t="s">
        <v>44</v>
      </c>
      <c r="D106" s="37">
        <f>VLOOKUP(PhasesTable[[#This Row],[CIP '#]],ProjectsTable[[CIP '#]:[Project Classification 3]],5,FALSE)</f>
        <v>113</v>
      </c>
      <c r="E106" s="37">
        <f>VLOOKUP(PhasesTable[[#This Row],[CIP '#]],ProjectsTable[[CIP '#]:[Project Classification 3]],6,FALSE)</f>
        <v>113004</v>
      </c>
      <c r="F106" s="40" t="s">
        <v>24</v>
      </c>
      <c r="G106" s="13" t="str">
        <f>VLOOKUP(PhasesTable[[#This Row],[CIP '#]],ProjectsTable[[CIP '#]:[Project Classification 3]],8,FALSE)</f>
        <v>Water</v>
      </c>
      <c r="H106" s="12" t="str">
        <f>VLOOKUP(PhasesTable[[#This Row],[CIP '#]],ProjectsTable[[CIP '#]:[Project Classification 3]],9,FALSE)</f>
        <v>Treatment Plants &amp; Facilities</v>
      </c>
      <c r="I106" s="41" t="str">
        <f>VLOOKUP(PhasesTable[[#This Row],[CIP '#]],ProjectsTable[[CIP '#]:[Project Classification 3]],10,FALSE)</f>
        <v>Southwest</v>
      </c>
      <c r="J106" s="41" t="s">
        <v>201</v>
      </c>
      <c r="K106" s="40" t="s">
        <v>27</v>
      </c>
      <c r="L106" s="41" t="s">
        <v>200</v>
      </c>
      <c r="M106" s="42" t="s">
        <v>30</v>
      </c>
      <c r="N106" s="42" t="s">
        <v>30</v>
      </c>
      <c r="O106" s="129">
        <v>0</v>
      </c>
      <c r="P106" s="140">
        <v>0</v>
      </c>
      <c r="Q106" s="131">
        <v>3000</v>
      </c>
      <c r="R106" s="132">
        <v>2269</v>
      </c>
      <c r="S106" s="132">
        <v>0</v>
      </c>
      <c r="T106" s="132">
        <v>0</v>
      </c>
      <c r="U106" s="133">
        <v>0</v>
      </c>
      <c r="V106" s="130">
        <v>0</v>
      </c>
      <c r="W106" s="134">
        <f>SUM(Q106:U106)</f>
        <v>5269</v>
      </c>
      <c r="X106" s="135">
        <f>SUM(O106:V106)</f>
        <v>5269</v>
      </c>
      <c r="Y106" s="15" t="s">
        <v>338</v>
      </c>
      <c r="Z106" s="16" t="s">
        <v>288</v>
      </c>
      <c r="AA106" s="17" t="s">
        <v>335</v>
      </c>
      <c r="AB106" s="50"/>
    </row>
    <row r="107" spans="1:28" s="44" customFormat="1" ht="30" customHeight="1" x14ac:dyDescent="0.45">
      <c r="A107" s="37">
        <v>16</v>
      </c>
      <c r="B107" s="38">
        <v>1297</v>
      </c>
      <c r="C107" s="39" t="s">
        <v>44</v>
      </c>
      <c r="D107" s="37">
        <f>VLOOKUP(PhasesTable[[#This Row],[CIP '#]],ProjectsTable[[CIP '#]:[Project Classification 3]],5,FALSE)</f>
        <v>113</v>
      </c>
      <c r="E107" s="37">
        <f>VLOOKUP(PhasesTable[[#This Row],[CIP '#]],ProjectsTable[[CIP '#]:[Project Classification 3]],6,FALSE)</f>
        <v>113004</v>
      </c>
      <c r="F107" s="40" t="s">
        <v>24</v>
      </c>
      <c r="G107" s="13" t="str">
        <f>VLOOKUP(PhasesTable[[#This Row],[CIP '#]],ProjectsTable[[CIP '#]:[Project Classification 3]],8,FALSE)</f>
        <v>Water</v>
      </c>
      <c r="H107" s="12" t="str">
        <f>VLOOKUP(PhasesTable[[#This Row],[CIP '#]],ProjectsTable[[CIP '#]:[Project Classification 3]],9,FALSE)</f>
        <v>Treatment Plants &amp; Facilities</v>
      </c>
      <c r="I107" s="41" t="str">
        <f>VLOOKUP(PhasesTable[[#This Row],[CIP '#]],ProjectsTable[[CIP '#]:[Project Classification 3]],10,FALSE)</f>
        <v>Southwest</v>
      </c>
      <c r="J107" s="41" t="s">
        <v>215</v>
      </c>
      <c r="K107" s="40" t="s">
        <v>212</v>
      </c>
      <c r="L107" s="41" t="s">
        <v>200</v>
      </c>
      <c r="M107" s="42" t="s">
        <v>30</v>
      </c>
      <c r="N107" s="42" t="s">
        <v>30</v>
      </c>
      <c r="O107" s="137">
        <v>0</v>
      </c>
      <c r="P107" s="130">
        <v>100</v>
      </c>
      <c r="Q107" s="131">
        <v>100</v>
      </c>
      <c r="R107" s="132">
        <v>40</v>
      </c>
      <c r="S107" s="132">
        <v>0</v>
      </c>
      <c r="T107" s="132">
        <v>0</v>
      </c>
      <c r="U107" s="133">
        <v>0</v>
      </c>
      <c r="V107" s="130">
        <v>0</v>
      </c>
      <c r="W107" s="134">
        <f>SUM(Q107:U107)</f>
        <v>140</v>
      </c>
      <c r="X107" s="135">
        <f>SUM(O107:V107)</f>
        <v>240</v>
      </c>
      <c r="Y107" s="15" t="s">
        <v>338</v>
      </c>
      <c r="Z107" s="16" t="s">
        <v>288</v>
      </c>
      <c r="AA107" s="17" t="s">
        <v>335</v>
      </c>
      <c r="AB107" s="43"/>
    </row>
    <row r="108" spans="1:28" s="44" customFormat="1" ht="30" customHeight="1" x14ac:dyDescent="0.45">
      <c r="A108" s="9">
        <v>5</v>
      </c>
      <c r="B108" s="10">
        <v>1298</v>
      </c>
      <c r="C108" s="11" t="s">
        <v>32</v>
      </c>
      <c r="D108" s="9">
        <f>VLOOKUP(PhasesTable[[#This Row],[CIP '#]],ProjectsTable[[CIP '#]:[Project Classification 3]],5,FALSE)</f>
        <v>111</v>
      </c>
      <c r="E108" s="9">
        <f>VLOOKUP(PhasesTable[[#This Row],[CIP '#]],ProjectsTable[[CIP '#]:[Project Classification 3]],6,FALSE)</f>
        <v>111004</v>
      </c>
      <c r="F108" s="12" t="s">
        <v>24</v>
      </c>
      <c r="G108" s="13" t="str">
        <f>VLOOKUP(PhasesTable[[#This Row],[CIP '#]],ProjectsTable[[CIP '#]:[Project Classification 3]],8,FALSE)</f>
        <v>Water</v>
      </c>
      <c r="H108" s="12" t="str">
        <f>VLOOKUP(PhasesTable[[#This Row],[CIP '#]],ProjectsTable[[CIP '#]:[Project Classification 3]],9,FALSE)</f>
        <v>Treatment Plants &amp; Facilities</v>
      </c>
      <c r="I108" s="13" t="str">
        <f>VLOOKUP(PhasesTable[[#This Row],[CIP '#]],ProjectsTable[[CIP '#]:[Project Classification 3]],10,FALSE)</f>
        <v>Lake Huron</v>
      </c>
      <c r="J108" s="13" t="s">
        <v>201</v>
      </c>
      <c r="K108" s="12" t="s">
        <v>27</v>
      </c>
      <c r="L108" s="13" t="s">
        <v>200</v>
      </c>
      <c r="M108" s="14" t="s">
        <v>27</v>
      </c>
      <c r="N108" s="14" t="s">
        <v>27</v>
      </c>
      <c r="O108" s="110">
        <v>0</v>
      </c>
      <c r="P108" s="111">
        <v>0</v>
      </c>
      <c r="Q108" s="112">
        <v>1000</v>
      </c>
      <c r="R108" s="113">
        <v>3000</v>
      </c>
      <c r="S108" s="113">
        <v>1600</v>
      </c>
      <c r="T108" s="113">
        <v>0</v>
      </c>
      <c r="U108" s="114">
        <v>0</v>
      </c>
      <c r="V108" s="111">
        <v>0</v>
      </c>
      <c r="W108" s="115">
        <f>SUM(Q108:U108)</f>
        <v>5600</v>
      </c>
      <c r="X108" s="116">
        <f>SUM(O108:V108)</f>
        <v>5600</v>
      </c>
      <c r="Y108" s="15" t="s">
        <v>338</v>
      </c>
      <c r="Z108" s="16" t="s">
        <v>288</v>
      </c>
      <c r="AA108" s="17" t="s">
        <v>335</v>
      </c>
      <c r="AB108" s="43"/>
    </row>
    <row r="109" spans="1:28" s="19" customFormat="1" ht="30" customHeight="1" x14ac:dyDescent="0.45">
      <c r="A109" s="9">
        <v>6</v>
      </c>
      <c r="B109" s="10">
        <v>1299</v>
      </c>
      <c r="C109" s="11" t="s">
        <v>33</v>
      </c>
      <c r="D109" s="9">
        <f>VLOOKUP(PhasesTable[[#This Row],[CIP '#]],ProjectsTable[[CIP '#]:[Project Classification 3]],5,FALSE)</f>
        <v>111</v>
      </c>
      <c r="E109" s="9">
        <f>VLOOKUP(PhasesTable[[#This Row],[CIP '#]],ProjectsTable[[CIP '#]:[Project Classification 3]],6,FALSE)</f>
        <v>111005</v>
      </c>
      <c r="F109" s="12" t="s">
        <v>24</v>
      </c>
      <c r="G109" s="13" t="str">
        <f>VLOOKUP(PhasesTable[[#This Row],[CIP '#]],ProjectsTable[[CIP '#]:[Project Classification 3]],8,FALSE)</f>
        <v>Water</v>
      </c>
      <c r="H109" s="12" t="str">
        <f>VLOOKUP(PhasesTable[[#This Row],[CIP '#]],ProjectsTable[[CIP '#]:[Project Classification 3]],9,FALSE)</f>
        <v>Treatment Plants &amp; Facilities</v>
      </c>
      <c r="I109" s="13" t="str">
        <f>VLOOKUP(PhasesTable[[#This Row],[CIP '#]],ProjectsTable[[CIP '#]:[Project Classification 3]],10,FALSE)</f>
        <v>Lake Huron</v>
      </c>
      <c r="J109" s="13" t="s">
        <v>201</v>
      </c>
      <c r="K109" s="12" t="s">
        <v>205</v>
      </c>
      <c r="L109" s="13" t="s">
        <v>200</v>
      </c>
      <c r="M109" s="14">
        <v>42743</v>
      </c>
      <c r="N109" s="14">
        <v>42803</v>
      </c>
      <c r="O109" s="110">
        <v>0</v>
      </c>
      <c r="P109" s="111">
        <v>600</v>
      </c>
      <c r="Q109" s="112">
        <v>323</v>
      </c>
      <c r="R109" s="113">
        <v>0</v>
      </c>
      <c r="S109" s="113">
        <v>0</v>
      </c>
      <c r="T109" s="113">
        <v>0</v>
      </c>
      <c r="U109" s="114">
        <v>0</v>
      </c>
      <c r="V109" s="111">
        <v>0</v>
      </c>
      <c r="W109" s="115">
        <f>SUM(Q109:U109)</f>
        <v>323</v>
      </c>
      <c r="X109" s="116">
        <f>SUM(O109:V109)</f>
        <v>923</v>
      </c>
      <c r="Y109" s="15" t="s">
        <v>338</v>
      </c>
      <c r="Z109" s="16" t="s">
        <v>288</v>
      </c>
      <c r="AA109" s="17" t="s">
        <v>335</v>
      </c>
      <c r="AB109" s="18"/>
    </row>
    <row r="110" spans="1:28" s="19" customFormat="1" ht="30" customHeight="1" x14ac:dyDescent="0.45">
      <c r="A110" s="37">
        <v>8</v>
      </c>
      <c r="B110" s="38">
        <v>1300</v>
      </c>
      <c r="C110" s="39" t="s">
        <v>35</v>
      </c>
      <c r="D110" s="37">
        <f>VLOOKUP(PhasesTable[[#This Row],[CIP '#]],ProjectsTable[[CIP '#]:[Project Classification 3]],5,FALSE)</f>
        <v>111</v>
      </c>
      <c r="E110" s="37">
        <f>VLOOKUP(PhasesTable[[#This Row],[CIP '#]],ProjectsTable[[CIP '#]:[Project Classification 3]],6,FALSE)</f>
        <v>111006</v>
      </c>
      <c r="F110" s="40" t="s">
        <v>24</v>
      </c>
      <c r="G110" s="13" t="str">
        <f>VLOOKUP(PhasesTable[[#This Row],[CIP '#]],ProjectsTable[[CIP '#]:[Project Classification 3]],8,FALSE)</f>
        <v>Water</v>
      </c>
      <c r="H110" s="12" t="str">
        <f>VLOOKUP(PhasesTable[[#This Row],[CIP '#]],ProjectsTable[[CIP '#]:[Project Classification 3]],9,FALSE)</f>
        <v>Treatment Plants &amp; Facilities</v>
      </c>
      <c r="I110" s="41" t="str">
        <f>VLOOKUP(PhasesTable[[#This Row],[CIP '#]],ProjectsTable[[CIP '#]:[Project Classification 3]],10,FALSE)</f>
        <v>Lake Huron</v>
      </c>
      <c r="J110" s="41" t="s">
        <v>215</v>
      </c>
      <c r="K110" s="40" t="s">
        <v>207</v>
      </c>
      <c r="L110" s="41" t="s">
        <v>200</v>
      </c>
      <c r="M110" s="42" t="s">
        <v>30</v>
      </c>
      <c r="N110" s="42" t="s">
        <v>30</v>
      </c>
      <c r="O110" s="129">
        <v>0</v>
      </c>
      <c r="P110" s="130">
        <v>100</v>
      </c>
      <c r="Q110" s="131">
        <v>600</v>
      </c>
      <c r="R110" s="132">
        <v>150</v>
      </c>
      <c r="S110" s="132">
        <v>150</v>
      </c>
      <c r="T110" s="132">
        <v>0</v>
      </c>
      <c r="U110" s="133">
        <v>0</v>
      </c>
      <c r="V110" s="130">
        <v>0</v>
      </c>
      <c r="W110" s="134">
        <f>SUM(Q110:U110)</f>
        <v>900</v>
      </c>
      <c r="X110" s="135">
        <f>SUM(O110:V110)</f>
        <v>1000</v>
      </c>
      <c r="Y110" s="15" t="s">
        <v>338</v>
      </c>
      <c r="Z110" s="16" t="s">
        <v>288</v>
      </c>
      <c r="AA110" s="17" t="s">
        <v>335</v>
      </c>
      <c r="AB110" s="18"/>
    </row>
    <row r="111" spans="1:28" s="44" customFormat="1" ht="30" customHeight="1" x14ac:dyDescent="0.45">
      <c r="A111" s="37">
        <v>7</v>
      </c>
      <c r="B111" s="38">
        <v>1300</v>
      </c>
      <c r="C111" s="39" t="s">
        <v>35</v>
      </c>
      <c r="D111" s="37">
        <f>VLOOKUP(PhasesTable[[#This Row],[CIP '#]],ProjectsTable[[CIP '#]:[Project Classification 3]],5,FALSE)</f>
        <v>111</v>
      </c>
      <c r="E111" s="37">
        <f>VLOOKUP(PhasesTable[[#This Row],[CIP '#]],ProjectsTable[[CIP '#]:[Project Classification 3]],6,FALSE)</f>
        <v>111006</v>
      </c>
      <c r="F111" s="40" t="s">
        <v>24</v>
      </c>
      <c r="G111" s="13" t="str">
        <f>VLOOKUP(PhasesTable[[#This Row],[CIP '#]],ProjectsTable[[CIP '#]:[Project Classification 3]],8,FALSE)</f>
        <v>Water</v>
      </c>
      <c r="H111" s="12" t="str">
        <f>VLOOKUP(PhasesTable[[#This Row],[CIP '#]],ProjectsTable[[CIP '#]:[Project Classification 3]],9,FALSE)</f>
        <v>Treatment Plants &amp; Facilities</v>
      </c>
      <c r="I111" s="41" t="str">
        <f>VLOOKUP(PhasesTable[[#This Row],[CIP '#]],ProjectsTable[[CIP '#]:[Project Classification 3]],10,FALSE)</f>
        <v>Lake Huron</v>
      </c>
      <c r="J111" s="41" t="s">
        <v>201</v>
      </c>
      <c r="K111" s="40" t="s">
        <v>27</v>
      </c>
      <c r="L111" s="41" t="s">
        <v>200</v>
      </c>
      <c r="M111" s="42" t="s">
        <v>30</v>
      </c>
      <c r="N111" s="42" t="s">
        <v>30</v>
      </c>
      <c r="O111" s="129">
        <v>0</v>
      </c>
      <c r="P111" s="130">
        <v>0</v>
      </c>
      <c r="Q111" s="131">
        <v>0</v>
      </c>
      <c r="R111" s="132">
        <v>12000</v>
      </c>
      <c r="S111" s="132">
        <v>11630</v>
      </c>
      <c r="T111" s="132">
        <v>0</v>
      </c>
      <c r="U111" s="133">
        <v>0</v>
      </c>
      <c r="V111" s="130">
        <v>0</v>
      </c>
      <c r="W111" s="134">
        <f>SUM(Q111:U111)</f>
        <v>23630</v>
      </c>
      <c r="X111" s="135">
        <f>SUM(O111:V111)</f>
        <v>23630</v>
      </c>
      <c r="Y111" s="15" t="s">
        <v>338</v>
      </c>
      <c r="Z111" s="16" t="s">
        <v>288</v>
      </c>
      <c r="AA111" s="17" t="s">
        <v>335</v>
      </c>
      <c r="AB111" s="43"/>
    </row>
    <row r="112" spans="1:28" s="44" customFormat="1" ht="30" customHeight="1" x14ac:dyDescent="0.45">
      <c r="A112" s="9">
        <v>35</v>
      </c>
      <c r="B112" s="10">
        <v>1301</v>
      </c>
      <c r="C112" s="11" t="s">
        <v>65</v>
      </c>
      <c r="D112" s="9">
        <f>VLOOKUP(PhasesTable[[#This Row],[CIP '#]],ProjectsTable[[CIP '#]:[Project Classification 3]],5,FALSE)</f>
        <v>115</v>
      </c>
      <c r="E112" s="9">
        <f>VLOOKUP(PhasesTable[[#This Row],[CIP '#]],ProjectsTable[[CIP '#]:[Project Classification 3]],6,FALSE)</f>
        <v>115003</v>
      </c>
      <c r="F112" s="12" t="s">
        <v>24</v>
      </c>
      <c r="G112" s="13" t="str">
        <f>VLOOKUP(PhasesTable[[#This Row],[CIP '#]],ProjectsTable[[CIP '#]:[Project Classification 3]],8,FALSE)</f>
        <v>Water</v>
      </c>
      <c r="H112" s="12" t="str">
        <f>VLOOKUP(PhasesTable[[#This Row],[CIP '#]],ProjectsTable[[CIP '#]:[Project Classification 3]],9,FALSE)</f>
        <v>Treatment Plants &amp; Facilities</v>
      </c>
      <c r="I112" s="13" t="str">
        <f>VLOOKUP(PhasesTable[[#This Row],[CIP '#]],ProjectsTable[[CIP '#]:[Project Classification 3]],10,FALSE)</f>
        <v>Water Works Park</v>
      </c>
      <c r="J112" s="13" t="s">
        <v>204</v>
      </c>
      <c r="K112" s="12" t="s">
        <v>27</v>
      </c>
      <c r="L112" s="13" t="s">
        <v>200</v>
      </c>
      <c r="M112" s="14" t="s">
        <v>27</v>
      </c>
      <c r="N112" s="14" t="s">
        <v>27</v>
      </c>
      <c r="O112" s="110">
        <v>0</v>
      </c>
      <c r="P112" s="111">
        <v>200</v>
      </c>
      <c r="Q112" s="112">
        <v>375</v>
      </c>
      <c r="R112" s="113">
        <v>0</v>
      </c>
      <c r="S112" s="113">
        <v>0</v>
      </c>
      <c r="T112" s="113">
        <v>0</v>
      </c>
      <c r="U112" s="114">
        <v>0</v>
      </c>
      <c r="V112" s="111">
        <v>0</v>
      </c>
      <c r="W112" s="115">
        <f>SUM(Q112:U112)</f>
        <v>375</v>
      </c>
      <c r="X112" s="116">
        <f>SUM(O112:V112)</f>
        <v>575</v>
      </c>
      <c r="Y112" s="15" t="s">
        <v>338</v>
      </c>
      <c r="Z112" s="16" t="s">
        <v>287</v>
      </c>
      <c r="AA112" s="17" t="s">
        <v>335</v>
      </c>
      <c r="AB112" s="68"/>
    </row>
    <row r="113" spans="1:28" s="43" customFormat="1" ht="40.15" customHeight="1" x14ac:dyDescent="0.45">
      <c r="A113" s="29">
        <v>225</v>
      </c>
      <c r="B113" s="30">
        <v>1302</v>
      </c>
      <c r="C113" s="31" t="s">
        <v>138</v>
      </c>
      <c r="D113" s="30">
        <f>VLOOKUP(PhasesTable[[#This Row],[CIP '#]],ProjectsTable[[CIP '#]:[Project Classification 3]],5,FALSE)</f>
        <v>212</v>
      </c>
      <c r="E113" s="30">
        <f>VLOOKUP(PhasesTable[[#This Row],[CIP '#]],ProjectsTable[[CIP '#]:[Project Classification 3]],6,FALSE)</f>
        <v>212006</v>
      </c>
      <c r="F113" s="32" t="s">
        <v>119</v>
      </c>
      <c r="G113" s="63" t="str">
        <f>VLOOKUP(PhasesTable[[#This Row],[CIP '#]],ProjectsTable[[CIP '#]:[Project Classification 3]],8,FALSE)</f>
        <v>Wastewater</v>
      </c>
      <c r="H113" s="65" t="str">
        <f>VLOOKUP(PhasesTable[[#This Row],[CIP '#]],ProjectsTable[[CIP '#]:[Project Classification 3]],9,FALSE)</f>
        <v>WRRF</v>
      </c>
      <c r="I113" s="65" t="str">
        <f>VLOOKUP(PhasesTable[[#This Row],[CIP '#]],ProjectsTable[[CIP '#]:[Project Classification 3]],10,FALSE)</f>
        <v>Secondary Treatment &amp; Disinfection</v>
      </c>
      <c r="J113" s="32" t="s">
        <v>201</v>
      </c>
      <c r="K113" s="64" t="s">
        <v>262</v>
      </c>
      <c r="L113" s="32" t="s">
        <v>200</v>
      </c>
      <c r="M113" s="35">
        <v>42419</v>
      </c>
      <c r="N113" s="35">
        <v>43830</v>
      </c>
      <c r="O113" s="123">
        <v>0</v>
      </c>
      <c r="P113" s="123">
        <v>2840</v>
      </c>
      <c r="Q113" s="124">
        <v>15000</v>
      </c>
      <c r="R113" s="125">
        <v>15000</v>
      </c>
      <c r="S113" s="125">
        <v>8920</v>
      </c>
      <c r="T113" s="125">
        <v>0</v>
      </c>
      <c r="U113" s="126">
        <v>0</v>
      </c>
      <c r="V113" s="123">
        <v>0</v>
      </c>
      <c r="W113" s="127">
        <f>SUM(Q113:U113)</f>
        <v>38920</v>
      </c>
      <c r="X113" s="128">
        <f>SUM(O113:V113)</f>
        <v>41760</v>
      </c>
      <c r="Y113" s="26" t="s">
        <v>338</v>
      </c>
      <c r="Z113" s="69" t="s">
        <v>290</v>
      </c>
      <c r="AA113" s="28" t="s">
        <v>335</v>
      </c>
    </row>
    <row r="114" spans="1:28" s="43" customFormat="1" ht="30" customHeight="1" x14ac:dyDescent="0.45">
      <c r="A114" s="29">
        <v>115</v>
      </c>
      <c r="B114" s="30">
        <v>1302</v>
      </c>
      <c r="C114" s="31" t="s">
        <v>138</v>
      </c>
      <c r="D114" s="29">
        <f>VLOOKUP(PhasesTable[[#This Row],[CIP '#]],ProjectsTable[[CIP '#]:[Project Classification 3]],5,FALSE)</f>
        <v>212</v>
      </c>
      <c r="E114" s="29">
        <f>VLOOKUP(PhasesTable[[#This Row],[CIP '#]],ProjectsTable[[CIP '#]:[Project Classification 3]],6,FALSE)</f>
        <v>212006</v>
      </c>
      <c r="F114" s="32" t="s">
        <v>119</v>
      </c>
      <c r="G114" s="23" t="str">
        <f>VLOOKUP(PhasesTable[[#This Row],[CIP '#]],ProjectsTable[[CIP '#]:[Project Classification 3]],8,FALSE)</f>
        <v>Wastewater</v>
      </c>
      <c r="H114" s="24" t="str">
        <f>VLOOKUP(PhasesTable[[#This Row],[CIP '#]],ProjectsTable[[CIP '#]:[Project Classification 3]],9,FALSE)</f>
        <v>WRRF</v>
      </c>
      <c r="I114" s="33" t="str">
        <f>VLOOKUP(PhasesTable[[#This Row],[CIP '#]],ProjectsTable[[CIP '#]:[Project Classification 3]],10,FALSE)</f>
        <v>Secondary Treatment &amp; Disinfection</v>
      </c>
      <c r="J114" s="32" t="s">
        <v>260</v>
      </c>
      <c r="K114" s="34" t="s">
        <v>261</v>
      </c>
      <c r="L114" s="32" t="s">
        <v>222</v>
      </c>
      <c r="M114" s="35" t="s">
        <v>30</v>
      </c>
      <c r="N114" s="35" t="s">
        <v>30</v>
      </c>
      <c r="O114" s="123">
        <v>0</v>
      </c>
      <c r="P114" s="123">
        <v>1000</v>
      </c>
      <c r="Q114" s="124">
        <v>800</v>
      </c>
      <c r="R114" s="125">
        <v>520</v>
      </c>
      <c r="S114" s="125">
        <v>100</v>
      </c>
      <c r="T114" s="125">
        <v>0</v>
      </c>
      <c r="U114" s="126">
        <v>0</v>
      </c>
      <c r="V114" s="123">
        <v>0</v>
      </c>
      <c r="W114" s="127">
        <f>SUM(Q114:U114)</f>
        <v>1420</v>
      </c>
      <c r="X114" s="128">
        <f>SUM(O114:V114)</f>
        <v>2420</v>
      </c>
      <c r="Y114" s="26" t="s">
        <v>338</v>
      </c>
      <c r="Z114" s="36" t="s">
        <v>290</v>
      </c>
      <c r="AA114" s="28" t="s">
        <v>335</v>
      </c>
    </row>
    <row r="115" spans="1:28" s="43" customFormat="1" ht="30" customHeight="1" x14ac:dyDescent="0.45">
      <c r="A115" s="29">
        <v>116</v>
      </c>
      <c r="B115" s="30">
        <v>1302</v>
      </c>
      <c r="C115" s="31" t="s">
        <v>138</v>
      </c>
      <c r="D115" s="29">
        <f>VLOOKUP(PhasesTable[[#This Row],[CIP '#]],ProjectsTable[[CIP '#]:[Project Classification 3]],5,FALSE)</f>
        <v>212</v>
      </c>
      <c r="E115" s="29">
        <f>VLOOKUP(PhasesTable[[#This Row],[CIP '#]],ProjectsTable[[CIP '#]:[Project Classification 3]],6,FALSE)</f>
        <v>212006</v>
      </c>
      <c r="F115" s="32" t="s">
        <v>119</v>
      </c>
      <c r="G115" s="23" t="str">
        <f>VLOOKUP(PhasesTable[[#This Row],[CIP '#]],ProjectsTable[[CIP '#]:[Project Classification 3]],8,FALSE)</f>
        <v>Wastewater</v>
      </c>
      <c r="H115" s="24" t="str">
        <f>VLOOKUP(PhasesTable[[#This Row],[CIP '#]],ProjectsTable[[CIP '#]:[Project Classification 3]],9,FALSE)</f>
        <v>WRRF</v>
      </c>
      <c r="I115" s="33" t="str">
        <f>VLOOKUP(PhasesTable[[#This Row],[CIP '#]],ProjectsTable[[CIP '#]:[Project Classification 3]],10,FALSE)</f>
        <v>Secondary Treatment &amp; Disinfection</v>
      </c>
      <c r="J115" s="32" t="s">
        <v>208</v>
      </c>
      <c r="K115" s="33" t="s">
        <v>262</v>
      </c>
      <c r="L115" s="32" t="s">
        <v>222</v>
      </c>
      <c r="M115" s="35">
        <v>42419</v>
      </c>
      <c r="N115" s="35">
        <v>43830</v>
      </c>
      <c r="O115" s="123">
        <v>728.57299999999998</v>
      </c>
      <c r="P115" s="123">
        <v>2690</v>
      </c>
      <c r="Q115" s="124">
        <v>0</v>
      </c>
      <c r="R115" s="125">
        <v>0</v>
      </c>
      <c r="S115" s="125">
        <v>0</v>
      </c>
      <c r="T115" s="125">
        <v>0</v>
      </c>
      <c r="U115" s="126">
        <v>0</v>
      </c>
      <c r="V115" s="123">
        <v>0</v>
      </c>
      <c r="W115" s="127">
        <f>SUM(Q115:U115)</f>
        <v>0</v>
      </c>
      <c r="X115" s="128">
        <f>SUM(O115:V115)</f>
        <v>3418.5729999999999</v>
      </c>
      <c r="Y115" s="26" t="s">
        <v>338</v>
      </c>
      <c r="Z115" s="36" t="s">
        <v>290</v>
      </c>
      <c r="AA115" s="28" t="s">
        <v>335</v>
      </c>
    </row>
    <row r="116" spans="1:28" s="44" customFormat="1" ht="30" customHeight="1" x14ac:dyDescent="0.45">
      <c r="A116" s="9">
        <v>73</v>
      </c>
      <c r="B116" s="10">
        <v>1303</v>
      </c>
      <c r="C116" s="11" t="s">
        <v>112</v>
      </c>
      <c r="D116" s="9">
        <f>VLOOKUP(PhasesTable[[#This Row],[CIP '#]],ProjectsTable[[CIP '#]:[Project Classification 3]],5,FALSE)</f>
        <v>1709</v>
      </c>
      <c r="E116" s="9">
        <f>VLOOKUP(PhasesTable[[#This Row],[CIP '#]],ProjectsTable[[CIP '#]:[Project Classification 3]],6,FALSE)</f>
        <v>170900</v>
      </c>
      <c r="F116" s="12" t="s">
        <v>24</v>
      </c>
      <c r="G116" s="13" t="str">
        <f>VLOOKUP(PhasesTable[[#This Row],[CIP '#]],ProjectsTable[[CIP '#]:[Project Classification 3]],8,FALSE)</f>
        <v>Water</v>
      </c>
      <c r="H116" s="12" t="str">
        <f>VLOOKUP(PhasesTable[[#This Row],[CIP '#]],ProjectsTable[[CIP '#]:[Project Classification 3]],9,FALSE)</f>
        <v>Programs</v>
      </c>
      <c r="I116" s="13" t="str">
        <f>VLOOKUP(PhasesTable[[#This Row],[CIP '#]],ProjectsTable[[CIP '#]:[Project Classification 3]],10,FALSE)</f>
        <v>Programs</v>
      </c>
      <c r="J116" s="13" t="s">
        <v>199</v>
      </c>
      <c r="K116" s="12" t="s">
        <v>27</v>
      </c>
      <c r="L116" s="13" t="s">
        <v>200</v>
      </c>
      <c r="M116" s="14" t="s">
        <v>27</v>
      </c>
      <c r="N116" s="14" t="s">
        <v>27</v>
      </c>
      <c r="O116" s="110">
        <v>0</v>
      </c>
      <c r="P116" s="111">
        <v>500</v>
      </c>
      <c r="Q116" s="112">
        <v>4000</v>
      </c>
      <c r="R116" s="113">
        <v>4000</v>
      </c>
      <c r="S116" s="113">
        <v>4000</v>
      </c>
      <c r="T116" s="113">
        <v>4000</v>
      </c>
      <c r="U116" s="114">
        <v>4000</v>
      </c>
      <c r="V116" s="111">
        <v>0</v>
      </c>
      <c r="W116" s="115">
        <f>SUM(Q116:U116)</f>
        <v>20000</v>
      </c>
      <c r="X116" s="116">
        <f>SUM(O116:V116)</f>
        <v>20500</v>
      </c>
      <c r="Y116" s="15" t="s">
        <v>338</v>
      </c>
      <c r="Z116" s="47" t="s">
        <v>288</v>
      </c>
      <c r="AA116" s="17" t="s">
        <v>337</v>
      </c>
      <c r="AB116" s="68"/>
    </row>
    <row r="117" spans="1:28" s="19" customFormat="1" ht="30" customHeight="1" x14ac:dyDescent="0.45">
      <c r="A117" s="37">
        <v>217</v>
      </c>
      <c r="B117" s="38">
        <v>1305</v>
      </c>
      <c r="C117" s="39" t="s">
        <v>80</v>
      </c>
      <c r="D117" s="38">
        <f>VLOOKUP(PhasesTable[[#This Row],[CIP '#]],ProjectsTable[[CIP '#]:[Project Classification 3]],5,FALSE)</f>
        <v>122</v>
      </c>
      <c r="E117" s="38">
        <f>VLOOKUP(PhasesTable[[#This Row],[CIP '#]],ProjectsTable[[CIP '#]:[Project Classification 3]],6,FALSE)</f>
        <v>122003</v>
      </c>
      <c r="F117" s="40" t="s">
        <v>24</v>
      </c>
      <c r="G117" s="52" t="str">
        <f>VLOOKUP(PhasesTable[[#This Row],[CIP '#]],ProjectsTable[[CIP '#]:[Project Classification 3]],8,FALSE)</f>
        <v>Water</v>
      </c>
      <c r="H117" s="53" t="str">
        <f>VLOOKUP(PhasesTable[[#This Row],[CIP '#]],ProjectsTable[[CIP '#]:[Project Classification 3]],9,FALSE)</f>
        <v>Field Services</v>
      </c>
      <c r="I117" s="52" t="str">
        <f>VLOOKUP(PhasesTable[[#This Row],[CIP '#]],ProjectsTable[[CIP '#]:[Project Classification 3]],10,FALSE)</f>
        <v>Transmission System</v>
      </c>
      <c r="J117" s="41" t="s">
        <v>204</v>
      </c>
      <c r="K117" s="40" t="s">
        <v>310</v>
      </c>
      <c r="L117" s="41" t="s">
        <v>222</v>
      </c>
      <c r="M117" s="42" t="s">
        <v>27</v>
      </c>
      <c r="N117" s="42" t="s">
        <v>27</v>
      </c>
      <c r="O117" s="137">
        <v>0</v>
      </c>
      <c r="P117" s="130">
        <v>0</v>
      </c>
      <c r="Q117" s="131">
        <v>1500</v>
      </c>
      <c r="R117" s="132">
        <v>2000</v>
      </c>
      <c r="S117" s="132">
        <v>0</v>
      </c>
      <c r="T117" s="132">
        <v>0</v>
      </c>
      <c r="U117" s="133">
        <v>0</v>
      </c>
      <c r="V117" s="130">
        <v>0</v>
      </c>
      <c r="W117" s="134">
        <f>SUM(Q117:U117)</f>
        <v>3500</v>
      </c>
      <c r="X117" s="135">
        <f>SUM(O117:V117)</f>
        <v>3500</v>
      </c>
      <c r="Y117" s="15" t="s">
        <v>338</v>
      </c>
      <c r="Z117" s="54" t="s">
        <v>287</v>
      </c>
      <c r="AA117" s="17" t="s">
        <v>335</v>
      </c>
      <c r="AB117" s="50"/>
    </row>
    <row r="118" spans="1:28" s="19" customFormat="1" ht="30" customHeight="1" x14ac:dyDescent="0.45">
      <c r="A118" s="51">
        <v>216</v>
      </c>
      <c r="B118" s="38">
        <v>1305</v>
      </c>
      <c r="C118" s="39" t="s">
        <v>80</v>
      </c>
      <c r="D118" s="38">
        <f>VLOOKUP(PhasesTable[[#This Row],[CIP '#]],ProjectsTable[[CIP '#]:[Project Classification 3]],5,FALSE)</f>
        <v>122</v>
      </c>
      <c r="E118" s="38">
        <f>VLOOKUP(PhasesTable[[#This Row],[CIP '#]],ProjectsTable[[CIP '#]:[Project Classification 3]],6,FALSE)</f>
        <v>122003</v>
      </c>
      <c r="F118" s="40" t="s">
        <v>24</v>
      </c>
      <c r="G118" s="52" t="str">
        <f>VLOOKUP(PhasesTable[[#This Row],[CIP '#]],ProjectsTable[[CIP '#]:[Project Classification 3]],8,FALSE)</f>
        <v>Water</v>
      </c>
      <c r="H118" s="53" t="str">
        <f>VLOOKUP(PhasesTable[[#This Row],[CIP '#]],ProjectsTable[[CIP '#]:[Project Classification 3]],9,FALSE)</f>
        <v>Field Services</v>
      </c>
      <c r="I118" s="52" t="str">
        <f>VLOOKUP(PhasesTable[[#This Row],[CIP '#]],ProjectsTable[[CIP '#]:[Project Classification 3]],10,FALSE)</f>
        <v>Transmission System</v>
      </c>
      <c r="J118" s="41" t="s">
        <v>201</v>
      </c>
      <c r="K118" s="40" t="s">
        <v>27</v>
      </c>
      <c r="L118" s="41" t="s">
        <v>200</v>
      </c>
      <c r="M118" s="42" t="s">
        <v>27</v>
      </c>
      <c r="N118" s="42" t="s">
        <v>27</v>
      </c>
      <c r="O118" s="137">
        <v>0</v>
      </c>
      <c r="P118" s="130">
        <v>0</v>
      </c>
      <c r="Q118" s="131">
        <v>0</v>
      </c>
      <c r="R118" s="132">
        <v>0</v>
      </c>
      <c r="S118" s="132">
        <v>0</v>
      </c>
      <c r="T118" s="132">
        <v>36000</v>
      </c>
      <c r="U118" s="133">
        <v>36000</v>
      </c>
      <c r="V118" s="130">
        <v>35650</v>
      </c>
      <c r="W118" s="134">
        <f>SUM(Q118:U118)</f>
        <v>72000</v>
      </c>
      <c r="X118" s="135">
        <f>SUM(O118:V118)</f>
        <v>107650</v>
      </c>
      <c r="Y118" s="15" t="s">
        <v>338</v>
      </c>
      <c r="Z118" s="54" t="s">
        <v>286</v>
      </c>
      <c r="AA118" s="17" t="s">
        <v>335</v>
      </c>
      <c r="AB118" s="50"/>
    </row>
    <row r="119" spans="1:28" s="19" customFormat="1" ht="30" customHeight="1" x14ac:dyDescent="0.45">
      <c r="A119" s="37">
        <v>46</v>
      </c>
      <c r="B119" s="38">
        <v>1305</v>
      </c>
      <c r="C119" s="39" t="s">
        <v>80</v>
      </c>
      <c r="D119" s="37">
        <f>VLOOKUP(PhasesTable[[#This Row],[CIP '#]],ProjectsTable[[CIP '#]:[Project Classification 3]],5,FALSE)</f>
        <v>122</v>
      </c>
      <c r="E119" s="37">
        <f>VLOOKUP(PhasesTable[[#This Row],[CIP '#]],ProjectsTable[[CIP '#]:[Project Classification 3]],6,FALSE)</f>
        <v>122003</v>
      </c>
      <c r="F119" s="40" t="s">
        <v>24</v>
      </c>
      <c r="G119" s="41" t="str">
        <f>VLOOKUP(PhasesTable[[#This Row],[CIP '#]],ProjectsTable[[CIP '#]:[Project Classification 3]],8,FALSE)</f>
        <v>Water</v>
      </c>
      <c r="H119" s="40" t="str">
        <f>VLOOKUP(PhasesTable[[#This Row],[CIP '#]],ProjectsTable[[CIP '#]:[Project Classification 3]],9,FALSE)</f>
        <v>Field Services</v>
      </c>
      <c r="I119" s="41" t="str">
        <f>VLOOKUP(PhasesTable[[#This Row],[CIP '#]],ProjectsTable[[CIP '#]:[Project Classification 3]],10,FALSE)</f>
        <v>Transmission System</v>
      </c>
      <c r="J119" s="41" t="s">
        <v>202</v>
      </c>
      <c r="K119" s="40" t="s">
        <v>27</v>
      </c>
      <c r="L119" s="41" t="s">
        <v>200</v>
      </c>
      <c r="M119" s="42" t="s">
        <v>27</v>
      </c>
      <c r="N119" s="42" t="s">
        <v>27</v>
      </c>
      <c r="O119" s="129">
        <v>0</v>
      </c>
      <c r="P119" s="130">
        <v>0</v>
      </c>
      <c r="Q119" s="131">
        <v>0</v>
      </c>
      <c r="R119" s="132">
        <v>3000</v>
      </c>
      <c r="S119" s="132">
        <v>10000</v>
      </c>
      <c r="T119" s="132">
        <v>2000</v>
      </c>
      <c r="U119" s="133">
        <v>2000</v>
      </c>
      <c r="V119" s="130">
        <v>1850</v>
      </c>
      <c r="W119" s="134">
        <f>SUM(Q119:U119)</f>
        <v>17000</v>
      </c>
      <c r="X119" s="135">
        <f>SUM(O119:V119)</f>
        <v>18850</v>
      </c>
      <c r="Y119" s="15" t="s">
        <v>338</v>
      </c>
      <c r="Z119" s="54" t="s">
        <v>286</v>
      </c>
      <c r="AA119" s="17" t="s">
        <v>335</v>
      </c>
      <c r="AB119" s="50"/>
    </row>
    <row r="120" spans="1:28" s="19" customFormat="1" ht="30" customHeight="1" x14ac:dyDescent="0.45">
      <c r="A120" s="9">
        <v>27</v>
      </c>
      <c r="B120" s="10">
        <v>1306</v>
      </c>
      <c r="C120" s="11" t="s">
        <v>58</v>
      </c>
      <c r="D120" s="9">
        <f>VLOOKUP(PhasesTable[[#This Row],[CIP '#]],ProjectsTable[[CIP '#]:[Project Classification 3]],5,FALSE)</f>
        <v>114</v>
      </c>
      <c r="E120" s="9">
        <f>VLOOKUP(PhasesTable[[#This Row],[CIP '#]],ProjectsTable[[CIP '#]:[Project Classification 3]],6,FALSE)</f>
        <v>114010</v>
      </c>
      <c r="F120" s="12" t="s">
        <v>24</v>
      </c>
      <c r="G120" s="13" t="str">
        <f>VLOOKUP(PhasesTable[[#This Row],[CIP '#]],ProjectsTable[[CIP '#]:[Project Classification 3]],8,FALSE)</f>
        <v>Water</v>
      </c>
      <c r="H120" s="12" t="str">
        <f>VLOOKUP(PhasesTable[[#This Row],[CIP '#]],ProjectsTable[[CIP '#]:[Project Classification 3]],9,FALSE)</f>
        <v>Treatment Plants &amp; Facilities</v>
      </c>
      <c r="I120" s="13" t="str">
        <f>VLOOKUP(PhasesTable[[#This Row],[CIP '#]],ProjectsTable[[CIP '#]:[Project Classification 3]],10,FALSE)</f>
        <v>Springwells</v>
      </c>
      <c r="J120" s="13" t="s">
        <v>208</v>
      </c>
      <c r="K120" s="12" t="s">
        <v>27</v>
      </c>
      <c r="L120" s="13" t="s">
        <v>200</v>
      </c>
      <c r="M120" s="14" t="s">
        <v>27</v>
      </c>
      <c r="N120" s="14" t="s">
        <v>27</v>
      </c>
      <c r="O120" s="110">
        <v>0</v>
      </c>
      <c r="P120" s="111">
        <v>0</v>
      </c>
      <c r="Q120" s="112">
        <v>0</v>
      </c>
      <c r="R120" s="113">
        <v>2000</v>
      </c>
      <c r="S120" s="113">
        <v>7000</v>
      </c>
      <c r="T120" s="113">
        <v>8000</v>
      </c>
      <c r="U120" s="114">
        <v>8000</v>
      </c>
      <c r="V120" s="111">
        <v>0</v>
      </c>
      <c r="W120" s="115">
        <f>SUM(Q120:U120)</f>
        <v>25000</v>
      </c>
      <c r="X120" s="116">
        <f>SUM(O120:V120)</f>
        <v>25000</v>
      </c>
      <c r="Y120" s="15" t="s">
        <v>338</v>
      </c>
      <c r="Z120" s="16" t="s">
        <v>288</v>
      </c>
      <c r="AA120" s="17" t="s">
        <v>335</v>
      </c>
      <c r="AB120" s="50"/>
    </row>
    <row r="121" spans="1:28" s="44" customFormat="1" ht="30" customHeight="1" x14ac:dyDescent="0.45">
      <c r="A121" s="37">
        <v>28</v>
      </c>
      <c r="B121" s="38">
        <v>1307</v>
      </c>
      <c r="C121" s="39" t="s">
        <v>59</v>
      </c>
      <c r="D121" s="37">
        <f>VLOOKUP(PhasesTable[[#This Row],[CIP '#]],ProjectsTable[[CIP '#]:[Project Classification 3]],5,FALSE)</f>
        <v>114</v>
      </c>
      <c r="E121" s="37">
        <f>VLOOKUP(PhasesTable[[#This Row],[CIP '#]],ProjectsTable[[CIP '#]:[Project Classification 3]],6,FALSE)</f>
        <v>114011</v>
      </c>
      <c r="F121" s="40" t="s">
        <v>24</v>
      </c>
      <c r="G121" s="13" t="str">
        <f>VLOOKUP(PhasesTable[[#This Row],[CIP '#]],ProjectsTable[[CIP '#]:[Project Classification 3]],8,FALSE)</f>
        <v>Water</v>
      </c>
      <c r="H121" s="12" t="str">
        <f>VLOOKUP(PhasesTable[[#This Row],[CIP '#]],ProjectsTable[[CIP '#]:[Project Classification 3]],9,FALSE)</f>
        <v>Treatment Plants &amp; Facilities</v>
      </c>
      <c r="I121" s="41" t="str">
        <f>VLOOKUP(PhasesTable[[#This Row],[CIP '#]],ProjectsTable[[CIP '#]:[Project Classification 3]],10,FALSE)</f>
        <v>Springwells</v>
      </c>
      <c r="J121" s="41" t="s">
        <v>201</v>
      </c>
      <c r="K121" s="40" t="s">
        <v>27</v>
      </c>
      <c r="L121" s="41" t="s">
        <v>200</v>
      </c>
      <c r="M121" s="42" t="s">
        <v>30</v>
      </c>
      <c r="N121" s="42" t="s">
        <v>30</v>
      </c>
      <c r="O121" s="129">
        <v>0</v>
      </c>
      <c r="P121" s="130">
        <v>0</v>
      </c>
      <c r="Q121" s="131">
        <v>3000</v>
      </c>
      <c r="R121" s="132">
        <v>2250</v>
      </c>
      <c r="S121" s="132">
        <v>0</v>
      </c>
      <c r="T121" s="132">
        <v>0</v>
      </c>
      <c r="U121" s="133">
        <v>0</v>
      </c>
      <c r="V121" s="130">
        <v>0</v>
      </c>
      <c r="W121" s="134">
        <f>SUM(Q121:U121)</f>
        <v>5250</v>
      </c>
      <c r="X121" s="135">
        <f>SUM(O121:V121)</f>
        <v>5250</v>
      </c>
      <c r="Y121" s="15" t="s">
        <v>338</v>
      </c>
      <c r="Z121" s="16" t="s">
        <v>288</v>
      </c>
      <c r="AA121" s="17" t="s">
        <v>335</v>
      </c>
      <c r="AB121" s="67"/>
    </row>
    <row r="122" spans="1:28" s="44" customFormat="1" ht="30" customHeight="1" x14ac:dyDescent="0.45">
      <c r="A122" s="37">
        <v>29</v>
      </c>
      <c r="B122" s="38">
        <v>1307</v>
      </c>
      <c r="C122" s="39" t="s">
        <v>59</v>
      </c>
      <c r="D122" s="37">
        <f>VLOOKUP(PhasesTable[[#This Row],[CIP '#]],ProjectsTable[[CIP '#]:[Project Classification 3]],5,FALSE)</f>
        <v>114</v>
      </c>
      <c r="E122" s="37">
        <f>VLOOKUP(PhasesTable[[#This Row],[CIP '#]],ProjectsTable[[CIP '#]:[Project Classification 3]],6,FALSE)</f>
        <v>114011</v>
      </c>
      <c r="F122" s="40" t="s">
        <v>24</v>
      </c>
      <c r="G122" s="13" t="str">
        <f>VLOOKUP(PhasesTable[[#This Row],[CIP '#]],ProjectsTable[[CIP '#]:[Project Classification 3]],8,FALSE)</f>
        <v>Water</v>
      </c>
      <c r="H122" s="12" t="str">
        <f>VLOOKUP(PhasesTable[[#This Row],[CIP '#]],ProjectsTable[[CIP '#]:[Project Classification 3]],9,FALSE)</f>
        <v>Treatment Plants &amp; Facilities</v>
      </c>
      <c r="I122" s="41" t="str">
        <f>VLOOKUP(PhasesTable[[#This Row],[CIP '#]],ProjectsTable[[CIP '#]:[Project Classification 3]],10,FALSE)</f>
        <v>Springwells</v>
      </c>
      <c r="J122" s="41" t="s">
        <v>215</v>
      </c>
      <c r="K122" s="40" t="s">
        <v>220</v>
      </c>
      <c r="L122" s="41" t="s">
        <v>200</v>
      </c>
      <c r="M122" s="42" t="s">
        <v>30</v>
      </c>
      <c r="N122" s="42" t="s">
        <v>30</v>
      </c>
      <c r="O122" s="129">
        <v>0</v>
      </c>
      <c r="P122" s="130">
        <v>300</v>
      </c>
      <c r="Q122" s="131">
        <v>450</v>
      </c>
      <c r="R122" s="132">
        <v>250</v>
      </c>
      <c r="S122" s="132">
        <v>0</v>
      </c>
      <c r="T122" s="132">
        <v>0</v>
      </c>
      <c r="U122" s="133">
        <v>0</v>
      </c>
      <c r="V122" s="130">
        <v>0</v>
      </c>
      <c r="W122" s="134">
        <f>SUM(Q122:U122)</f>
        <v>700</v>
      </c>
      <c r="X122" s="135">
        <f>SUM(O122:V122)</f>
        <v>1000</v>
      </c>
      <c r="Y122" s="15" t="s">
        <v>338</v>
      </c>
      <c r="Z122" s="16" t="s">
        <v>288</v>
      </c>
      <c r="AA122" s="17" t="s">
        <v>335</v>
      </c>
      <c r="AB122" s="68"/>
    </row>
    <row r="123" spans="1:28" s="43" customFormat="1" ht="30" customHeight="1" x14ac:dyDescent="0.45">
      <c r="A123" s="20">
        <v>126</v>
      </c>
      <c r="B123" s="21">
        <v>1309</v>
      </c>
      <c r="C123" s="22" t="s">
        <v>146</v>
      </c>
      <c r="D123" s="20">
        <f>VLOOKUP(PhasesTable[[#This Row],[CIP '#]],ProjectsTable[[CIP '#]:[Project Classification 3]],5,FALSE)</f>
        <v>213</v>
      </c>
      <c r="E123" s="20">
        <f>VLOOKUP(PhasesTable[[#This Row],[CIP '#]],ProjectsTable[[CIP '#]:[Project Classification 3]],6,FALSE)</f>
        <v>213006</v>
      </c>
      <c r="F123" s="23" t="s">
        <v>119</v>
      </c>
      <c r="G123" s="23" t="str">
        <f>VLOOKUP(PhasesTable[[#This Row],[CIP '#]],ProjectsTable[[CIP '#]:[Project Classification 3]],8,FALSE)</f>
        <v>Wastewater</v>
      </c>
      <c r="H123" s="24" t="str">
        <f>VLOOKUP(PhasesTable[[#This Row],[CIP '#]],ProjectsTable[[CIP '#]:[Project Classification 3]],9,FALSE)</f>
        <v>WRRF</v>
      </c>
      <c r="I123" s="24" t="str">
        <f>VLOOKUP(PhasesTable[[#This Row],[CIP '#]],ProjectsTable[[CIP '#]:[Project Classification 3]],10,FALSE)</f>
        <v>Residuals Management</v>
      </c>
      <c r="J123" s="23" t="s">
        <v>208</v>
      </c>
      <c r="K123" s="55" t="s">
        <v>27</v>
      </c>
      <c r="L123" s="23" t="s">
        <v>214</v>
      </c>
      <c r="M123" s="25" t="s">
        <v>27</v>
      </c>
      <c r="N123" s="25" t="s">
        <v>27</v>
      </c>
      <c r="O123" s="117">
        <v>0</v>
      </c>
      <c r="P123" s="117">
        <v>33</v>
      </c>
      <c r="Q123" s="118">
        <v>402</v>
      </c>
      <c r="R123" s="119">
        <v>750</v>
      </c>
      <c r="S123" s="119">
        <v>0</v>
      </c>
      <c r="T123" s="119">
        <v>0</v>
      </c>
      <c r="U123" s="120">
        <v>0</v>
      </c>
      <c r="V123" s="117">
        <v>0</v>
      </c>
      <c r="W123" s="121">
        <f>SUM(Q123:U123)</f>
        <v>1152</v>
      </c>
      <c r="X123" s="122">
        <f>SUM(O123:V123)</f>
        <v>1185</v>
      </c>
      <c r="Y123" s="26" t="s">
        <v>338</v>
      </c>
      <c r="Z123" s="36" t="s">
        <v>288</v>
      </c>
      <c r="AA123" s="28" t="s">
        <v>335</v>
      </c>
    </row>
    <row r="124" spans="1:28" s="43" customFormat="1" ht="30" customHeight="1" x14ac:dyDescent="0.45">
      <c r="A124" s="29">
        <v>127</v>
      </c>
      <c r="B124" s="30">
        <v>1311</v>
      </c>
      <c r="C124" s="31" t="s">
        <v>147</v>
      </c>
      <c r="D124" s="29">
        <f>VLOOKUP(PhasesTable[[#This Row],[CIP '#]],ProjectsTable[[CIP '#]:[Project Classification 3]],5,FALSE)</f>
        <v>213</v>
      </c>
      <c r="E124" s="29">
        <f>VLOOKUP(PhasesTable[[#This Row],[CIP '#]],ProjectsTable[[CIP '#]:[Project Classification 3]],6,FALSE)</f>
        <v>213007</v>
      </c>
      <c r="F124" s="32" t="s">
        <v>119</v>
      </c>
      <c r="G124" s="32" t="str">
        <f>VLOOKUP(PhasesTable[[#This Row],[CIP '#]],ProjectsTable[[CIP '#]:[Project Classification 3]],8,FALSE)</f>
        <v>Wastewater</v>
      </c>
      <c r="H124" s="33" t="str">
        <f>VLOOKUP(PhasesTable[[#This Row],[CIP '#]],ProjectsTable[[CIP '#]:[Project Classification 3]],9,FALSE)</f>
        <v>WRRF</v>
      </c>
      <c r="I124" s="33" t="str">
        <f>VLOOKUP(PhasesTable[[#This Row],[CIP '#]],ProjectsTable[[CIP '#]:[Project Classification 3]],10,FALSE)</f>
        <v>Residuals Management</v>
      </c>
      <c r="J124" s="32" t="s">
        <v>201</v>
      </c>
      <c r="K124" s="34" t="s">
        <v>27</v>
      </c>
      <c r="L124" s="32" t="s">
        <v>200</v>
      </c>
      <c r="M124" s="35" t="s">
        <v>27</v>
      </c>
      <c r="N124" s="35" t="s">
        <v>27</v>
      </c>
      <c r="O124" s="123">
        <v>0</v>
      </c>
      <c r="P124" s="123">
        <v>0</v>
      </c>
      <c r="Q124" s="124">
        <v>9100</v>
      </c>
      <c r="R124" s="125">
        <v>7822</v>
      </c>
      <c r="S124" s="125">
        <v>0</v>
      </c>
      <c r="T124" s="125">
        <v>0</v>
      </c>
      <c r="U124" s="126">
        <v>0</v>
      </c>
      <c r="V124" s="123">
        <v>0</v>
      </c>
      <c r="W124" s="127">
        <f>SUM(Q124:U124)</f>
        <v>16922</v>
      </c>
      <c r="X124" s="128">
        <f>SUM(O124:V124)</f>
        <v>16922</v>
      </c>
      <c r="Y124" s="26" t="s">
        <v>338</v>
      </c>
      <c r="Z124" s="60" t="s">
        <v>288</v>
      </c>
      <c r="AA124" s="28" t="s">
        <v>335</v>
      </c>
    </row>
    <row r="125" spans="1:28" s="43" customFormat="1" ht="30" customHeight="1" x14ac:dyDescent="0.45">
      <c r="A125" s="64">
        <v>226</v>
      </c>
      <c r="B125" s="30">
        <v>1311</v>
      </c>
      <c r="C125" s="31" t="s">
        <v>147</v>
      </c>
      <c r="D125" s="30">
        <f>VLOOKUP(PhasesTable[[#This Row],[CIP '#]],ProjectsTable[[CIP '#]:[Project Classification 3]],5,FALSE)</f>
        <v>213</v>
      </c>
      <c r="E125" s="30">
        <f>VLOOKUP(PhasesTable[[#This Row],[CIP '#]],ProjectsTable[[CIP '#]:[Project Classification 3]],6,FALSE)</f>
        <v>213007</v>
      </c>
      <c r="F125" s="32" t="s">
        <v>119</v>
      </c>
      <c r="G125" s="63" t="str">
        <f>VLOOKUP(PhasesTable[[#This Row],[CIP '#]],ProjectsTable[[CIP '#]:[Project Classification 3]],8,FALSE)</f>
        <v>Wastewater</v>
      </c>
      <c r="H125" s="65" t="str">
        <f>VLOOKUP(PhasesTable[[#This Row],[CIP '#]],ProjectsTable[[CIP '#]:[Project Classification 3]],9,FALSE)</f>
        <v>WRRF</v>
      </c>
      <c r="I125" s="65" t="str">
        <f>VLOOKUP(PhasesTable[[#This Row],[CIP '#]],ProjectsTable[[CIP '#]:[Project Classification 3]],10,FALSE)</f>
        <v>Residuals Management</v>
      </c>
      <c r="J125" s="32" t="s">
        <v>215</v>
      </c>
      <c r="K125" s="34" t="s">
        <v>314</v>
      </c>
      <c r="L125" s="32" t="s">
        <v>222</v>
      </c>
      <c r="M125" s="35" t="s">
        <v>27</v>
      </c>
      <c r="N125" s="35" t="s">
        <v>27</v>
      </c>
      <c r="O125" s="123">
        <v>0</v>
      </c>
      <c r="P125" s="123">
        <v>1500</v>
      </c>
      <c r="Q125" s="124">
        <v>500</v>
      </c>
      <c r="R125" s="125">
        <v>0</v>
      </c>
      <c r="S125" s="125">
        <v>0</v>
      </c>
      <c r="T125" s="125">
        <v>0</v>
      </c>
      <c r="U125" s="126">
        <v>0</v>
      </c>
      <c r="V125" s="123">
        <v>0</v>
      </c>
      <c r="W125" s="127">
        <f>SUM(Q125:U125)</f>
        <v>500</v>
      </c>
      <c r="X125" s="128">
        <f>SUM(O125:V125)</f>
        <v>2000</v>
      </c>
      <c r="Y125" s="26" t="s">
        <v>338</v>
      </c>
      <c r="Z125" s="60" t="s">
        <v>288</v>
      </c>
      <c r="AA125" s="28" t="s">
        <v>335</v>
      </c>
    </row>
    <row r="126" spans="1:28" s="43" customFormat="1" ht="30" customHeight="1" x14ac:dyDescent="0.45">
      <c r="A126" s="29">
        <v>100</v>
      </c>
      <c r="B126" s="30">
        <v>1312</v>
      </c>
      <c r="C126" s="31" t="s">
        <v>127</v>
      </c>
      <c r="D126" s="29">
        <f>VLOOKUP(PhasesTable[[#This Row],[CIP '#]],ProjectsTable[[CIP '#]:[Project Classification 3]],5,FALSE)</f>
        <v>211</v>
      </c>
      <c r="E126" s="29">
        <f>VLOOKUP(PhasesTable[[#This Row],[CIP '#]],ProjectsTable[[CIP '#]:[Project Classification 3]],6,FALSE)</f>
        <v>211006</v>
      </c>
      <c r="F126" s="32" t="s">
        <v>119</v>
      </c>
      <c r="G126" s="32" t="str">
        <f>VLOOKUP(PhasesTable[[#This Row],[CIP '#]],ProjectsTable[[CIP '#]:[Project Classification 3]],8,FALSE)</f>
        <v>Wastewater</v>
      </c>
      <c r="H126" s="33" t="str">
        <f>VLOOKUP(PhasesTable[[#This Row],[CIP '#]],ProjectsTable[[CIP '#]:[Project Classification 3]],9,FALSE)</f>
        <v>WRRF</v>
      </c>
      <c r="I126" s="33" t="str">
        <f>VLOOKUP(PhasesTable[[#This Row],[CIP '#]],ProjectsTable[[CIP '#]:[Project Classification 3]],10,FALSE)</f>
        <v>Primary Treatment</v>
      </c>
      <c r="J126" s="32" t="s">
        <v>208</v>
      </c>
      <c r="K126" s="34" t="s">
        <v>27</v>
      </c>
      <c r="L126" s="32" t="s">
        <v>200</v>
      </c>
      <c r="M126" s="35" t="s">
        <v>27</v>
      </c>
      <c r="N126" s="35" t="s">
        <v>27</v>
      </c>
      <c r="O126" s="123">
        <v>0</v>
      </c>
      <c r="P126" s="123">
        <v>0</v>
      </c>
      <c r="Q126" s="124">
        <v>600</v>
      </c>
      <c r="R126" s="125">
        <v>350</v>
      </c>
      <c r="S126" s="125">
        <v>125</v>
      </c>
      <c r="T126" s="125">
        <v>100</v>
      </c>
      <c r="U126" s="126">
        <v>0</v>
      </c>
      <c r="V126" s="123">
        <v>0</v>
      </c>
      <c r="W126" s="127">
        <f>SUM(Q126:U126)</f>
        <v>1175</v>
      </c>
      <c r="X126" s="128">
        <f>SUM(O126:V126)</f>
        <v>1175</v>
      </c>
      <c r="Y126" s="26" t="s">
        <v>338</v>
      </c>
      <c r="Z126" s="60" t="s">
        <v>288</v>
      </c>
      <c r="AA126" s="28" t="s">
        <v>335</v>
      </c>
    </row>
    <row r="127" spans="1:28" s="18" customFormat="1" ht="30" customHeight="1" x14ac:dyDescent="0.45">
      <c r="A127" s="64">
        <v>224</v>
      </c>
      <c r="B127" s="30">
        <v>1312</v>
      </c>
      <c r="C127" s="31" t="s">
        <v>127</v>
      </c>
      <c r="D127" s="30">
        <f>VLOOKUP(PhasesTable[[#This Row],[CIP '#]],ProjectsTable[[CIP '#]:[Project Classification 3]],5,FALSE)</f>
        <v>211</v>
      </c>
      <c r="E127" s="30">
        <f>VLOOKUP(PhasesTable[[#This Row],[CIP '#]],ProjectsTable[[CIP '#]:[Project Classification 3]],6,FALSE)</f>
        <v>211006</v>
      </c>
      <c r="F127" s="32" t="s">
        <v>119</v>
      </c>
      <c r="G127" s="63" t="str">
        <f>VLOOKUP(PhasesTable[[#This Row],[CIP '#]],ProjectsTable[[CIP '#]:[Project Classification 3]],8,FALSE)</f>
        <v>Wastewater</v>
      </c>
      <c r="H127" s="65" t="str">
        <f>VLOOKUP(PhasesTable[[#This Row],[CIP '#]],ProjectsTable[[CIP '#]:[Project Classification 3]],9,FALSE)</f>
        <v>WRRF</v>
      </c>
      <c r="I127" s="65" t="str">
        <f>VLOOKUP(PhasesTable[[#This Row],[CIP '#]],ProjectsTable[[CIP '#]:[Project Classification 3]],10,FALSE)</f>
        <v>Primary Treatment</v>
      </c>
      <c r="J127" s="32" t="s">
        <v>201</v>
      </c>
      <c r="K127" s="34" t="s">
        <v>27</v>
      </c>
      <c r="L127" s="32" t="s">
        <v>200</v>
      </c>
      <c r="M127" s="35" t="s">
        <v>27</v>
      </c>
      <c r="N127" s="35" t="s">
        <v>27</v>
      </c>
      <c r="O127" s="123">
        <v>0</v>
      </c>
      <c r="P127" s="123">
        <v>0</v>
      </c>
      <c r="Q127" s="124">
        <v>0</v>
      </c>
      <c r="R127" s="125">
        <v>5000</v>
      </c>
      <c r="S127" s="125">
        <v>5000</v>
      </c>
      <c r="T127" s="125">
        <v>1954</v>
      </c>
      <c r="U127" s="126">
        <v>0</v>
      </c>
      <c r="V127" s="123">
        <v>0</v>
      </c>
      <c r="W127" s="127">
        <f>SUM(Q127:U127)</f>
        <v>11954</v>
      </c>
      <c r="X127" s="128">
        <f>SUM(O127:V127)</f>
        <v>11954</v>
      </c>
      <c r="Y127" s="26" t="s">
        <v>338</v>
      </c>
      <c r="Z127" s="60" t="s">
        <v>288</v>
      </c>
      <c r="AA127" s="28" t="s">
        <v>335</v>
      </c>
    </row>
    <row r="128" spans="1:28" s="18" customFormat="1" ht="30" customHeight="1" x14ac:dyDescent="0.45">
      <c r="A128" s="29">
        <v>102</v>
      </c>
      <c r="B128" s="30">
        <v>1314</v>
      </c>
      <c r="C128" s="31" t="s">
        <v>128</v>
      </c>
      <c r="D128" s="29">
        <f>VLOOKUP(PhasesTable[[#This Row],[CIP '#]],ProjectsTable[[CIP '#]:[Project Classification 3]],5,FALSE)</f>
        <v>211</v>
      </c>
      <c r="E128" s="29">
        <f>VLOOKUP(PhasesTable[[#This Row],[CIP '#]],ProjectsTable[[CIP '#]:[Project Classification 3]],6,FALSE)</f>
        <v>211007</v>
      </c>
      <c r="F128" s="32" t="s">
        <v>119</v>
      </c>
      <c r="G128" s="23" t="str">
        <f>VLOOKUP(PhasesTable[[#This Row],[CIP '#]],ProjectsTable[[CIP '#]:[Project Classification 3]],8,FALSE)</f>
        <v>Wastewater</v>
      </c>
      <c r="H128" s="24" t="str">
        <f>VLOOKUP(PhasesTable[[#This Row],[CIP '#]],ProjectsTable[[CIP '#]:[Project Classification 3]],9,FALSE)</f>
        <v>WRRF</v>
      </c>
      <c r="I128" s="32" t="str">
        <f>VLOOKUP(PhasesTable[[#This Row],[CIP '#]],ProjectsTable[[CIP '#]:[Project Classification 3]],10,FALSE)</f>
        <v>Primary Treatment</v>
      </c>
      <c r="J128" s="32" t="s">
        <v>215</v>
      </c>
      <c r="K128" s="34" t="s">
        <v>27</v>
      </c>
      <c r="L128" s="32" t="s">
        <v>200</v>
      </c>
      <c r="M128" s="35" t="s">
        <v>27</v>
      </c>
      <c r="N128" s="35" t="s">
        <v>27</v>
      </c>
      <c r="O128" s="123">
        <v>0</v>
      </c>
      <c r="P128" s="123">
        <v>0</v>
      </c>
      <c r="Q128" s="124">
        <v>650</v>
      </c>
      <c r="R128" s="125">
        <v>400</v>
      </c>
      <c r="S128" s="125">
        <v>250</v>
      </c>
      <c r="T128" s="125">
        <v>100</v>
      </c>
      <c r="U128" s="126">
        <v>0</v>
      </c>
      <c r="V128" s="123">
        <v>0</v>
      </c>
      <c r="W128" s="127">
        <f>SUM(Q128:U128)</f>
        <v>1400</v>
      </c>
      <c r="X128" s="128">
        <f>SUM(O128:V128)</f>
        <v>1400</v>
      </c>
      <c r="Y128" s="26" t="s">
        <v>338</v>
      </c>
      <c r="Z128" s="36" t="s">
        <v>288</v>
      </c>
      <c r="AA128" s="28" t="s">
        <v>335</v>
      </c>
    </row>
    <row r="129" spans="1:28" s="18" customFormat="1" ht="30" customHeight="1" x14ac:dyDescent="0.45">
      <c r="A129" s="29">
        <v>101</v>
      </c>
      <c r="B129" s="30">
        <v>1314</v>
      </c>
      <c r="C129" s="31" t="s">
        <v>128</v>
      </c>
      <c r="D129" s="29">
        <f>VLOOKUP(PhasesTable[[#This Row],[CIP '#]],ProjectsTable[[CIP '#]:[Project Classification 3]],5,FALSE)</f>
        <v>211</v>
      </c>
      <c r="E129" s="29">
        <f>VLOOKUP(PhasesTable[[#This Row],[CIP '#]],ProjectsTable[[CIP '#]:[Project Classification 3]],6,FALSE)</f>
        <v>211007</v>
      </c>
      <c r="F129" s="32" t="s">
        <v>119</v>
      </c>
      <c r="G129" s="23" t="str">
        <f>VLOOKUP(PhasesTable[[#This Row],[CIP '#]],ProjectsTable[[CIP '#]:[Project Classification 3]],8,FALSE)</f>
        <v>Wastewater</v>
      </c>
      <c r="H129" s="24" t="str">
        <f>VLOOKUP(PhasesTable[[#This Row],[CIP '#]],ProjectsTable[[CIP '#]:[Project Classification 3]],9,FALSE)</f>
        <v>WRRF</v>
      </c>
      <c r="I129" s="32" t="str">
        <f>VLOOKUP(PhasesTable[[#This Row],[CIP '#]],ProjectsTable[[CIP '#]:[Project Classification 3]],10,FALSE)</f>
        <v>Primary Treatment</v>
      </c>
      <c r="J129" s="32" t="s">
        <v>201</v>
      </c>
      <c r="K129" s="34" t="s">
        <v>27</v>
      </c>
      <c r="L129" s="32" t="s">
        <v>200</v>
      </c>
      <c r="M129" s="35" t="s">
        <v>27</v>
      </c>
      <c r="N129" s="35" t="s">
        <v>27</v>
      </c>
      <c r="O129" s="123">
        <v>0</v>
      </c>
      <c r="P129" s="123">
        <v>0</v>
      </c>
      <c r="Q129" s="124">
        <v>0</v>
      </c>
      <c r="R129" s="125">
        <v>2500</v>
      </c>
      <c r="S129" s="125">
        <v>3050</v>
      </c>
      <c r="T129" s="125">
        <v>2717</v>
      </c>
      <c r="U129" s="126">
        <v>0</v>
      </c>
      <c r="V129" s="123">
        <v>0</v>
      </c>
      <c r="W129" s="127">
        <f>SUM(Q129:U129)</f>
        <v>8267</v>
      </c>
      <c r="X129" s="128">
        <f>SUM(O129:V129)</f>
        <v>8267</v>
      </c>
      <c r="Y129" s="26" t="s">
        <v>338</v>
      </c>
      <c r="Z129" s="36" t="s">
        <v>288</v>
      </c>
      <c r="AA129" s="28" t="s">
        <v>335</v>
      </c>
    </row>
    <row r="130" spans="1:28" s="43" customFormat="1" ht="30" customHeight="1" x14ac:dyDescent="0.45">
      <c r="A130" s="29">
        <v>167</v>
      </c>
      <c r="B130" s="30">
        <v>1315</v>
      </c>
      <c r="C130" s="31" t="s">
        <v>166</v>
      </c>
      <c r="D130" s="29">
        <f>VLOOKUP(PhasesTable[[#This Row],[CIP '#]],ProjectsTable[[CIP '#]:[Project Classification 3]],5,FALSE)</f>
        <v>232</v>
      </c>
      <c r="E130" s="29">
        <f>VLOOKUP(PhasesTable[[#This Row],[CIP '#]],ProjectsTable[[CIP '#]:[Project Classification 3]],6,FALSE)</f>
        <v>232002</v>
      </c>
      <c r="F130" s="32" t="s">
        <v>119</v>
      </c>
      <c r="G130" s="23" t="str">
        <f>VLOOKUP(PhasesTable[[#This Row],[CIP '#]],ProjectsTable[[CIP '#]:[Project Classification 3]],8,FALSE)</f>
        <v>Wastewater</v>
      </c>
      <c r="H130" s="24" t="str">
        <f>VLOOKUP(PhasesTable[[#This Row],[CIP '#]],ProjectsTable[[CIP '#]:[Project Classification 3]],9,FALSE)</f>
        <v>SCC</v>
      </c>
      <c r="I130" s="32" t="str">
        <f>VLOOKUP(PhasesTable[[#This Row],[CIP '#]],ProjectsTable[[CIP '#]:[Project Classification 3]],10,FALSE)</f>
        <v>Pumping Stations</v>
      </c>
      <c r="J130" s="32" t="s">
        <v>206</v>
      </c>
      <c r="K130" s="34" t="s">
        <v>27</v>
      </c>
      <c r="L130" s="32" t="s">
        <v>200</v>
      </c>
      <c r="M130" s="35" t="s">
        <v>27</v>
      </c>
      <c r="N130" s="35" t="s">
        <v>27</v>
      </c>
      <c r="O130" s="123">
        <v>0</v>
      </c>
      <c r="P130" s="123">
        <v>340</v>
      </c>
      <c r="Q130" s="124">
        <v>3400</v>
      </c>
      <c r="R130" s="125">
        <v>0</v>
      </c>
      <c r="S130" s="125">
        <v>0</v>
      </c>
      <c r="T130" s="125">
        <v>0</v>
      </c>
      <c r="U130" s="126">
        <v>0</v>
      </c>
      <c r="V130" s="123">
        <v>0</v>
      </c>
      <c r="W130" s="127">
        <f>SUM(Q130:U130)</f>
        <v>3400</v>
      </c>
      <c r="X130" s="128">
        <f>SUM(O130:V130)</f>
        <v>3740</v>
      </c>
      <c r="Y130" s="26" t="s">
        <v>338</v>
      </c>
      <c r="Z130" s="36" t="s">
        <v>288</v>
      </c>
      <c r="AA130" s="28" t="s">
        <v>335</v>
      </c>
    </row>
    <row r="131" spans="1:28" s="43" customFormat="1" ht="30" customHeight="1" x14ac:dyDescent="0.45">
      <c r="A131" s="64">
        <v>236</v>
      </c>
      <c r="B131" s="30">
        <v>1315</v>
      </c>
      <c r="C131" s="31" t="s">
        <v>166</v>
      </c>
      <c r="D131" s="30">
        <f>VLOOKUP(PhasesTable[[#This Row],[CIP '#]],ProjectsTable[[CIP '#]:[Project Classification 3]],5,FALSE)</f>
        <v>232</v>
      </c>
      <c r="E131" s="30">
        <f>VLOOKUP(PhasesTable[[#This Row],[CIP '#]],ProjectsTable[[CIP '#]:[Project Classification 3]],6,FALSE)</f>
        <v>232002</v>
      </c>
      <c r="F131" s="32" t="s">
        <v>119</v>
      </c>
      <c r="G131" s="63" t="str">
        <f>VLOOKUP(PhasesTable[[#This Row],[CIP '#]],ProjectsTable[[CIP '#]:[Project Classification 3]],8,FALSE)</f>
        <v>Wastewater</v>
      </c>
      <c r="H131" s="65" t="str">
        <f>VLOOKUP(PhasesTable[[#This Row],[CIP '#]],ProjectsTable[[CIP '#]:[Project Classification 3]],9,FALSE)</f>
        <v>SCC</v>
      </c>
      <c r="I131" s="63" t="str">
        <f>VLOOKUP(PhasesTable[[#This Row],[CIP '#]],ProjectsTable[[CIP '#]:[Project Classification 3]],10,FALSE)</f>
        <v>Pumping Stations</v>
      </c>
      <c r="J131" s="32" t="s">
        <v>201</v>
      </c>
      <c r="K131" s="34" t="s">
        <v>319</v>
      </c>
      <c r="L131" s="32" t="s">
        <v>222</v>
      </c>
      <c r="M131" s="35" t="s">
        <v>27</v>
      </c>
      <c r="N131" s="35" t="s">
        <v>27</v>
      </c>
      <c r="O131" s="123">
        <v>0</v>
      </c>
      <c r="P131" s="123">
        <v>1964</v>
      </c>
      <c r="Q131" s="124">
        <v>2000</v>
      </c>
      <c r="R131" s="125">
        <v>0</v>
      </c>
      <c r="S131" s="125">
        <v>0</v>
      </c>
      <c r="T131" s="125">
        <v>0</v>
      </c>
      <c r="U131" s="126">
        <v>0</v>
      </c>
      <c r="V131" s="123">
        <v>0</v>
      </c>
      <c r="W131" s="127">
        <f>SUM(Q131:U131)</f>
        <v>2000</v>
      </c>
      <c r="X131" s="128">
        <f>SUM(O131:V131)</f>
        <v>3964</v>
      </c>
      <c r="Y131" s="26" t="s">
        <v>338</v>
      </c>
      <c r="Z131" s="60" t="s">
        <v>288</v>
      </c>
      <c r="AA131" s="28" t="s">
        <v>335</v>
      </c>
    </row>
    <row r="132" spans="1:28" s="43" customFormat="1" ht="30" customHeight="1" x14ac:dyDescent="0.45">
      <c r="A132" s="29">
        <v>168</v>
      </c>
      <c r="B132" s="30">
        <v>1315</v>
      </c>
      <c r="C132" s="31" t="s">
        <v>166</v>
      </c>
      <c r="D132" s="29">
        <f>VLOOKUP(PhasesTable[[#This Row],[CIP '#]],ProjectsTable[[CIP '#]:[Project Classification 3]],5,FALSE)</f>
        <v>232</v>
      </c>
      <c r="E132" s="29">
        <f>VLOOKUP(PhasesTable[[#This Row],[CIP '#]],ProjectsTable[[CIP '#]:[Project Classification 3]],6,FALSE)</f>
        <v>232002</v>
      </c>
      <c r="F132" s="32" t="s">
        <v>119</v>
      </c>
      <c r="G132" s="23" t="str">
        <f>VLOOKUP(PhasesTable[[#This Row],[CIP '#]],ProjectsTable[[CIP '#]:[Project Classification 3]],8,FALSE)</f>
        <v>Wastewater</v>
      </c>
      <c r="H132" s="24" t="str">
        <f>VLOOKUP(PhasesTable[[#This Row],[CIP '#]],ProjectsTable[[CIP '#]:[Project Classification 3]],9,FALSE)</f>
        <v>SCC</v>
      </c>
      <c r="I132" s="32" t="str">
        <f>VLOOKUP(PhasesTable[[#This Row],[CIP '#]],ProjectsTable[[CIP '#]:[Project Classification 3]],10,FALSE)</f>
        <v>Pumping Stations</v>
      </c>
      <c r="J132" s="32" t="s">
        <v>204</v>
      </c>
      <c r="K132" s="34" t="s">
        <v>27</v>
      </c>
      <c r="L132" s="32" t="s">
        <v>200</v>
      </c>
      <c r="M132" s="35" t="s">
        <v>27</v>
      </c>
      <c r="N132" s="35" t="s">
        <v>27</v>
      </c>
      <c r="O132" s="123">
        <v>0</v>
      </c>
      <c r="P132" s="123">
        <v>100</v>
      </c>
      <c r="Q132" s="124">
        <v>500</v>
      </c>
      <c r="R132" s="125">
        <v>0</v>
      </c>
      <c r="S132" s="125">
        <v>0</v>
      </c>
      <c r="T132" s="125">
        <v>0</v>
      </c>
      <c r="U132" s="126">
        <v>0</v>
      </c>
      <c r="V132" s="123">
        <v>0</v>
      </c>
      <c r="W132" s="127">
        <f>SUM(Q132:U132)</f>
        <v>500</v>
      </c>
      <c r="X132" s="128">
        <f>SUM(O132:V132)</f>
        <v>600</v>
      </c>
      <c r="Y132" s="26" t="s">
        <v>338</v>
      </c>
      <c r="Z132" s="36" t="s">
        <v>287</v>
      </c>
      <c r="AA132" s="28" t="s">
        <v>335</v>
      </c>
    </row>
    <row r="133" spans="1:28" s="18" customFormat="1" ht="30" customHeight="1" x14ac:dyDescent="0.45">
      <c r="A133" s="29">
        <v>166</v>
      </c>
      <c r="B133" s="30">
        <v>1315</v>
      </c>
      <c r="C133" s="31" t="s">
        <v>166</v>
      </c>
      <c r="D133" s="29">
        <f>VLOOKUP(PhasesTable[[#This Row],[CIP '#]],ProjectsTable[[CIP '#]:[Project Classification 3]],5,FALSE)</f>
        <v>232</v>
      </c>
      <c r="E133" s="29">
        <f>VLOOKUP(PhasesTable[[#This Row],[CIP '#]],ProjectsTable[[CIP '#]:[Project Classification 3]],6,FALSE)</f>
        <v>232002</v>
      </c>
      <c r="F133" s="32" t="s">
        <v>119</v>
      </c>
      <c r="G133" s="23" t="str">
        <f>VLOOKUP(PhasesTable[[#This Row],[CIP '#]],ProjectsTable[[CIP '#]:[Project Classification 3]],8,FALSE)</f>
        <v>Wastewater</v>
      </c>
      <c r="H133" s="24" t="str">
        <f>VLOOKUP(PhasesTable[[#This Row],[CIP '#]],ProjectsTable[[CIP '#]:[Project Classification 3]],9,FALSE)</f>
        <v>SCC</v>
      </c>
      <c r="I133" s="32" t="str">
        <f>VLOOKUP(PhasesTable[[#This Row],[CIP '#]],ProjectsTable[[CIP '#]:[Project Classification 3]],10,FALSE)</f>
        <v>Pumping Stations</v>
      </c>
      <c r="J133" s="32" t="s">
        <v>201</v>
      </c>
      <c r="K133" s="34" t="s">
        <v>27</v>
      </c>
      <c r="L133" s="32" t="s">
        <v>200</v>
      </c>
      <c r="M133" s="35" t="s">
        <v>27</v>
      </c>
      <c r="N133" s="35" t="s">
        <v>27</v>
      </c>
      <c r="O133" s="123">
        <v>0</v>
      </c>
      <c r="P133" s="123">
        <f>5600-1964+2000</f>
        <v>5636</v>
      </c>
      <c r="Q133" s="124">
        <v>0</v>
      </c>
      <c r="R133" s="125">
        <v>5100</v>
      </c>
      <c r="S133" s="125">
        <v>2460</v>
      </c>
      <c r="T133" s="125">
        <v>1000</v>
      </c>
      <c r="U133" s="126">
        <v>0</v>
      </c>
      <c r="V133" s="123">
        <v>0</v>
      </c>
      <c r="W133" s="127">
        <f>SUM(Q133:U133)</f>
        <v>8560</v>
      </c>
      <c r="X133" s="128">
        <f>SUM(O133:V133)</f>
        <v>14196</v>
      </c>
      <c r="Y133" s="26" t="s">
        <v>338</v>
      </c>
      <c r="Z133" s="36" t="s">
        <v>288</v>
      </c>
      <c r="AA133" s="28" t="s">
        <v>335</v>
      </c>
    </row>
    <row r="134" spans="1:28" s="44" customFormat="1" ht="30" customHeight="1" x14ac:dyDescent="0.45">
      <c r="A134" s="51">
        <v>204</v>
      </c>
      <c r="B134" s="38">
        <v>1318</v>
      </c>
      <c r="C134" s="39" t="s">
        <v>36</v>
      </c>
      <c r="D134" s="38">
        <f>VLOOKUP(PhasesTable[[#This Row],[CIP '#]],ProjectsTable[[CIP '#]:[Project Classification 3]],5,FALSE)</f>
        <v>111</v>
      </c>
      <c r="E134" s="38">
        <f>VLOOKUP(PhasesTable[[#This Row],[CIP '#]],ProjectsTable[[CIP '#]:[Project Classification 3]],6,FALSE)</f>
        <v>111007</v>
      </c>
      <c r="F134" s="40" t="s">
        <v>24</v>
      </c>
      <c r="G134" s="52" t="str">
        <f>VLOOKUP(PhasesTable[[#This Row],[CIP '#]],ProjectsTable[[CIP '#]:[Project Classification 3]],8,FALSE)</f>
        <v>Water</v>
      </c>
      <c r="H134" s="53" t="str">
        <f>VLOOKUP(PhasesTable[[#This Row],[CIP '#]],ProjectsTable[[CIP '#]:[Project Classification 3]],9,FALSE)</f>
        <v>Treatment Plants &amp; Facilities</v>
      </c>
      <c r="I134" s="52" t="str">
        <f>VLOOKUP(PhasesTable[[#This Row],[CIP '#]],ProjectsTable[[CIP '#]:[Project Classification 3]],10,FALSE)</f>
        <v>Lake Huron</v>
      </c>
      <c r="J134" s="41" t="s">
        <v>215</v>
      </c>
      <c r="K134" s="40" t="s">
        <v>306</v>
      </c>
      <c r="L134" s="41" t="s">
        <v>222</v>
      </c>
      <c r="M134" s="42" t="s">
        <v>27</v>
      </c>
      <c r="N134" s="42" t="s">
        <v>27</v>
      </c>
      <c r="O134" s="137">
        <v>0</v>
      </c>
      <c r="P134" s="130">
        <v>0</v>
      </c>
      <c r="Q134" s="131">
        <v>50</v>
      </c>
      <c r="R134" s="132">
        <v>920</v>
      </c>
      <c r="S134" s="132">
        <v>321</v>
      </c>
      <c r="T134" s="132">
        <v>0</v>
      </c>
      <c r="U134" s="133">
        <v>0</v>
      </c>
      <c r="V134" s="130"/>
      <c r="W134" s="134">
        <f>SUM(Q134:U134)</f>
        <v>1291</v>
      </c>
      <c r="X134" s="135">
        <f>SUM(O134:V134)</f>
        <v>1291</v>
      </c>
      <c r="Y134" s="15" t="s">
        <v>338</v>
      </c>
      <c r="Z134" s="54" t="s">
        <v>288</v>
      </c>
      <c r="AA134" s="17" t="s">
        <v>335</v>
      </c>
      <c r="AB134" s="43"/>
    </row>
    <row r="135" spans="1:28" s="44" customFormat="1" ht="30" customHeight="1" x14ac:dyDescent="0.45">
      <c r="A135" s="37">
        <v>9</v>
      </c>
      <c r="B135" s="38">
        <v>1318</v>
      </c>
      <c r="C135" s="39" t="s">
        <v>36</v>
      </c>
      <c r="D135" s="37">
        <f>VLOOKUP(PhasesTable[[#This Row],[CIP '#]],ProjectsTable[[CIP '#]:[Project Classification 3]],5,FALSE)</f>
        <v>111</v>
      </c>
      <c r="E135" s="37">
        <f>VLOOKUP(PhasesTable[[#This Row],[CIP '#]],ProjectsTable[[CIP '#]:[Project Classification 3]],6,FALSE)</f>
        <v>111007</v>
      </c>
      <c r="F135" s="40" t="s">
        <v>24</v>
      </c>
      <c r="G135" s="41" t="str">
        <f>VLOOKUP(PhasesTable[[#This Row],[CIP '#]],ProjectsTable[[CIP '#]:[Project Classification 3]],8,FALSE)</f>
        <v>Water</v>
      </c>
      <c r="H135" s="40" t="str">
        <f>VLOOKUP(PhasesTable[[#This Row],[CIP '#]],ProjectsTable[[CIP '#]:[Project Classification 3]],9,FALSE)</f>
        <v>Treatment Plants &amp; Facilities</v>
      </c>
      <c r="I135" s="41" t="str">
        <f>VLOOKUP(PhasesTable[[#This Row],[CIP '#]],ProjectsTable[[CIP '#]:[Project Classification 3]],10,FALSE)</f>
        <v>Lake Huron</v>
      </c>
      <c r="J135" s="41" t="s">
        <v>201</v>
      </c>
      <c r="K135" s="40" t="s">
        <v>27</v>
      </c>
      <c r="L135" s="41" t="s">
        <v>200</v>
      </c>
      <c r="M135" s="42" t="s">
        <v>27</v>
      </c>
      <c r="N135" s="42" t="s">
        <v>27</v>
      </c>
      <c r="O135" s="129">
        <v>0</v>
      </c>
      <c r="P135" s="130">
        <v>0</v>
      </c>
      <c r="Q135" s="131">
        <v>0</v>
      </c>
      <c r="R135" s="132">
        <v>0</v>
      </c>
      <c r="S135" s="132">
        <v>5842</v>
      </c>
      <c r="T135" s="132">
        <v>0</v>
      </c>
      <c r="U135" s="133">
        <v>0</v>
      </c>
      <c r="V135" s="130">
        <v>0</v>
      </c>
      <c r="W135" s="134">
        <f>SUM(Q135:U135)</f>
        <v>5842</v>
      </c>
      <c r="X135" s="135">
        <f>SUM(O135:V135)</f>
        <v>5842</v>
      </c>
      <c r="Y135" s="15" t="s">
        <v>338</v>
      </c>
      <c r="Z135" s="16" t="s">
        <v>288</v>
      </c>
      <c r="AA135" s="17" t="s">
        <v>335</v>
      </c>
      <c r="AB135" s="68"/>
    </row>
    <row r="136" spans="1:28" s="44" customFormat="1" ht="30" customHeight="1" x14ac:dyDescent="0.45">
      <c r="A136" s="9">
        <v>30</v>
      </c>
      <c r="B136" s="10">
        <v>1320</v>
      </c>
      <c r="C136" s="11" t="s">
        <v>60</v>
      </c>
      <c r="D136" s="9">
        <f>VLOOKUP(PhasesTable[[#This Row],[CIP '#]],ProjectsTable[[CIP '#]:[Project Classification 3]],5,FALSE)</f>
        <v>114</v>
      </c>
      <c r="E136" s="9">
        <f>VLOOKUP(PhasesTable[[#This Row],[CIP '#]],ProjectsTable[[CIP '#]:[Project Classification 3]],6,FALSE)</f>
        <v>114012</v>
      </c>
      <c r="F136" s="12" t="s">
        <v>24</v>
      </c>
      <c r="G136" s="13" t="str">
        <f>VLOOKUP(PhasesTable[[#This Row],[CIP '#]],ProjectsTable[[CIP '#]:[Project Classification 3]],8,FALSE)</f>
        <v>Water</v>
      </c>
      <c r="H136" s="12" t="str">
        <f>VLOOKUP(PhasesTable[[#This Row],[CIP '#]],ProjectsTable[[CIP '#]:[Project Classification 3]],9,FALSE)</f>
        <v>Treatment Plants &amp; Facilities</v>
      </c>
      <c r="I136" s="13" t="str">
        <f>VLOOKUP(PhasesTable[[#This Row],[CIP '#]],ProjectsTable[[CIP '#]:[Project Classification 3]],10,FALSE)</f>
        <v>Springwells</v>
      </c>
      <c r="J136" s="13" t="s">
        <v>201</v>
      </c>
      <c r="K136" s="12" t="s">
        <v>27</v>
      </c>
      <c r="L136" s="13" t="s">
        <v>200</v>
      </c>
      <c r="M136" s="14" t="s">
        <v>27</v>
      </c>
      <c r="N136" s="14" t="s">
        <v>27</v>
      </c>
      <c r="O136" s="110">
        <v>0</v>
      </c>
      <c r="P136" s="111">
        <v>3000</v>
      </c>
      <c r="Q136" s="112">
        <v>0</v>
      </c>
      <c r="R136" s="113">
        <v>0</v>
      </c>
      <c r="S136" s="113">
        <v>0</v>
      </c>
      <c r="T136" s="113">
        <v>0</v>
      </c>
      <c r="U136" s="114">
        <v>0</v>
      </c>
      <c r="V136" s="111">
        <v>0</v>
      </c>
      <c r="W136" s="115">
        <f>SUM(Q136:U136)</f>
        <v>0</v>
      </c>
      <c r="X136" s="116">
        <f>SUM(O136:V136)</f>
        <v>3000</v>
      </c>
      <c r="Y136" s="15" t="s">
        <v>338</v>
      </c>
      <c r="Z136" s="16" t="s">
        <v>288</v>
      </c>
      <c r="AA136" s="17" t="s">
        <v>335</v>
      </c>
      <c r="AB136" s="68"/>
    </row>
    <row r="137" spans="1:28" s="19" customFormat="1" ht="30" customHeight="1" x14ac:dyDescent="0.45">
      <c r="A137" s="37">
        <v>219</v>
      </c>
      <c r="B137" s="38">
        <v>1321</v>
      </c>
      <c r="C137" s="39" t="s">
        <v>81</v>
      </c>
      <c r="D137" s="38">
        <f>VLOOKUP(PhasesTable[[#This Row],[CIP '#]],ProjectsTable[[CIP '#]:[Project Classification 3]],5,FALSE)</f>
        <v>122</v>
      </c>
      <c r="E137" s="38">
        <f>VLOOKUP(PhasesTable[[#This Row],[CIP '#]],ProjectsTable[[CIP '#]:[Project Classification 3]],6,FALSE)</f>
        <v>122004</v>
      </c>
      <c r="F137" s="40" t="s">
        <v>24</v>
      </c>
      <c r="G137" s="52" t="str">
        <f>VLOOKUP(PhasesTable[[#This Row],[CIP '#]],ProjectsTable[[CIP '#]:[Project Classification 3]],8,FALSE)</f>
        <v>Water</v>
      </c>
      <c r="H137" s="53" t="str">
        <f>VLOOKUP(PhasesTable[[#This Row],[CIP '#]],ProjectsTable[[CIP '#]:[Project Classification 3]],9,FALSE)</f>
        <v>Field Services</v>
      </c>
      <c r="I137" s="52" t="str">
        <f>VLOOKUP(PhasesTable[[#This Row],[CIP '#]],ProjectsTable[[CIP '#]:[Project Classification 3]],10,FALSE)</f>
        <v>Transmission System</v>
      </c>
      <c r="J137" s="41" t="s">
        <v>204</v>
      </c>
      <c r="K137" s="40" t="s">
        <v>307</v>
      </c>
      <c r="L137" s="41" t="s">
        <v>222</v>
      </c>
      <c r="M137" s="42" t="s">
        <v>27</v>
      </c>
      <c r="N137" s="42" t="s">
        <v>27</v>
      </c>
      <c r="O137" s="137">
        <v>0</v>
      </c>
      <c r="P137" s="130">
        <v>500</v>
      </c>
      <c r="Q137" s="131">
        <v>1500</v>
      </c>
      <c r="R137" s="132">
        <v>0</v>
      </c>
      <c r="S137" s="132">
        <v>0</v>
      </c>
      <c r="T137" s="132">
        <v>0</v>
      </c>
      <c r="U137" s="133">
        <v>0</v>
      </c>
      <c r="V137" s="130">
        <v>0</v>
      </c>
      <c r="W137" s="134">
        <f>SUM(Q137:U137)</f>
        <v>1500</v>
      </c>
      <c r="X137" s="135">
        <f>SUM(O137:V137)</f>
        <v>2000</v>
      </c>
      <c r="Y137" s="15" t="s">
        <v>338</v>
      </c>
      <c r="Z137" s="54" t="s">
        <v>287</v>
      </c>
      <c r="AA137" s="17" t="s">
        <v>335</v>
      </c>
      <c r="AB137" s="18"/>
    </row>
    <row r="138" spans="1:28" s="19" customFormat="1" ht="30" customHeight="1" x14ac:dyDescent="0.45">
      <c r="A138" s="37">
        <v>47</v>
      </c>
      <c r="B138" s="38">
        <v>1321</v>
      </c>
      <c r="C138" s="39" t="s">
        <v>81</v>
      </c>
      <c r="D138" s="37">
        <f>VLOOKUP(PhasesTable[[#This Row],[CIP '#]],ProjectsTable[[CIP '#]:[Project Classification 3]],5,FALSE)</f>
        <v>122</v>
      </c>
      <c r="E138" s="37">
        <f>VLOOKUP(PhasesTable[[#This Row],[CIP '#]],ProjectsTable[[CIP '#]:[Project Classification 3]],6,FALSE)</f>
        <v>122004</v>
      </c>
      <c r="F138" s="40" t="s">
        <v>24</v>
      </c>
      <c r="G138" s="41" t="str">
        <f>VLOOKUP(PhasesTable[[#This Row],[CIP '#]],ProjectsTable[[CIP '#]:[Project Classification 3]],8,FALSE)</f>
        <v>Water</v>
      </c>
      <c r="H138" s="40" t="str">
        <f>VLOOKUP(PhasesTable[[#This Row],[CIP '#]],ProjectsTable[[CIP '#]:[Project Classification 3]],9,FALSE)</f>
        <v>Field Services</v>
      </c>
      <c r="I138" s="41" t="str">
        <f>VLOOKUP(PhasesTable[[#This Row],[CIP '#]],ProjectsTable[[CIP '#]:[Project Classification 3]],10,FALSE)</f>
        <v>Transmission System</v>
      </c>
      <c r="J138" s="41" t="s">
        <v>201</v>
      </c>
      <c r="K138" s="40" t="s">
        <v>27</v>
      </c>
      <c r="L138" s="41" t="s">
        <v>200</v>
      </c>
      <c r="M138" s="42" t="s">
        <v>27</v>
      </c>
      <c r="N138" s="42" t="s">
        <v>27</v>
      </c>
      <c r="O138" s="129">
        <v>0</v>
      </c>
      <c r="P138" s="130">
        <v>0</v>
      </c>
      <c r="Q138" s="131">
        <v>0</v>
      </c>
      <c r="R138" s="132">
        <v>0</v>
      </c>
      <c r="S138" s="132">
        <v>30000</v>
      </c>
      <c r="T138" s="132">
        <v>30000</v>
      </c>
      <c r="U138" s="133">
        <v>30000</v>
      </c>
      <c r="V138" s="130">
        <v>30000</v>
      </c>
      <c r="W138" s="134">
        <f>SUM(Q138:U138)</f>
        <v>90000</v>
      </c>
      <c r="X138" s="135">
        <f>SUM(O138:V138)</f>
        <v>120000</v>
      </c>
      <c r="Y138" s="15" t="s">
        <v>338</v>
      </c>
      <c r="Z138" s="54" t="s">
        <v>286</v>
      </c>
      <c r="AA138" s="17" t="s">
        <v>335</v>
      </c>
      <c r="AB138" s="18"/>
    </row>
    <row r="139" spans="1:28" s="44" customFormat="1" ht="30" customHeight="1" x14ac:dyDescent="0.45">
      <c r="A139" s="51">
        <v>218</v>
      </c>
      <c r="B139" s="38">
        <v>1321</v>
      </c>
      <c r="C139" s="39" t="s">
        <v>81</v>
      </c>
      <c r="D139" s="38">
        <f>VLOOKUP(PhasesTable[[#This Row],[CIP '#]],ProjectsTable[[CIP '#]:[Project Classification 3]],5,FALSE)</f>
        <v>122</v>
      </c>
      <c r="E139" s="38">
        <f>VLOOKUP(PhasesTable[[#This Row],[CIP '#]],ProjectsTable[[CIP '#]:[Project Classification 3]],6,FALSE)</f>
        <v>122004</v>
      </c>
      <c r="F139" s="40" t="s">
        <v>24</v>
      </c>
      <c r="G139" s="52" t="str">
        <f>VLOOKUP(PhasesTable[[#This Row],[CIP '#]],ProjectsTable[[CIP '#]:[Project Classification 3]],8,FALSE)</f>
        <v>Water</v>
      </c>
      <c r="H139" s="53" t="str">
        <f>VLOOKUP(PhasesTable[[#This Row],[CIP '#]],ProjectsTable[[CIP '#]:[Project Classification 3]],9,FALSE)</f>
        <v>Field Services</v>
      </c>
      <c r="I139" s="52" t="str">
        <f>VLOOKUP(PhasesTable[[#This Row],[CIP '#]],ProjectsTable[[CIP '#]:[Project Classification 3]],10,FALSE)</f>
        <v>Transmission System</v>
      </c>
      <c r="J139" s="41" t="s">
        <v>202</v>
      </c>
      <c r="K139" s="40" t="s">
        <v>27</v>
      </c>
      <c r="L139" s="41" t="s">
        <v>200</v>
      </c>
      <c r="M139" s="42" t="s">
        <v>27</v>
      </c>
      <c r="N139" s="42" t="s">
        <v>27</v>
      </c>
      <c r="O139" s="137">
        <v>0</v>
      </c>
      <c r="P139" s="130">
        <v>0</v>
      </c>
      <c r="Q139" s="131">
        <v>0</v>
      </c>
      <c r="R139" s="132">
        <v>6000</v>
      </c>
      <c r="S139" s="132">
        <v>5900</v>
      </c>
      <c r="T139" s="132">
        <v>1700</v>
      </c>
      <c r="U139" s="133">
        <v>1700</v>
      </c>
      <c r="V139" s="130">
        <v>1700</v>
      </c>
      <c r="W139" s="134">
        <f>SUM(Q139:U139)</f>
        <v>15300</v>
      </c>
      <c r="X139" s="135">
        <f>SUM(O139:V139)</f>
        <v>17000</v>
      </c>
      <c r="Y139" s="15" t="s">
        <v>338</v>
      </c>
      <c r="Z139" s="54" t="s">
        <v>286</v>
      </c>
      <c r="AA139" s="17" t="s">
        <v>335</v>
      </c>
      <c r="AB139" s="67"/>
    </row>
    <row r="140" spans="1:28" s="44" customFormat="1" ht="30" customHeight="1" x14ac:dyDescent="0.45">
      <c r="A140" s="9">
        <v>48</v>
      </c>
      <c r="B140" s="10">
        <v>1323</v>
      </c>
      <c r="C140" s="11" t="s">
        <v>82</v>
      </c>
      <c r="D140" s="9">
        <f>VLOOKUP(PhasesTable[[#This Row],[CIP '#]],ProjectsTable[[CIP '#]:[Project Classification 3]],5,FALSE)</f>
        <v>122</v>
      </c>
      <c r="E140" s="9">
        <f>VLOOKUP(PhasesTable[[#This Row],[CIP '#]],ProjectsTable[[CIP '#]:[Project Classification 3]],6,FALSE)</f>
        <v>122005</v>
      </c>
      <c r="F140" s="12" t="s">
        <v>24</v>
      </c>
      <c r="G140" s="13" t="str">
        <f>VLOOKUP(PhasesTable[[#This Row],[CIP '#]],ProjectsTable[[CIP '#]:[Project Classification 3]],8,FALSE)</f>
        <v>Water</v>
      </c>
      <c r="H140" s="12" t="str">
        <f>VLOOKUP(PhasesTable[[#This Row],[CIP '#]],ProjectsTable[[CIP '#]:[Project Classification 3]],9,FALSE)</f>
        <v>Field Services</v>
      </c>
      <c r="I140" s="13" t="str">
        <f>VLOOKUP(PhasesTable[[#This Row],[CIP '#]],ProjectsTable[[CIP '#]:[Project Classification 3]],10,FALSE)</f>
        <v>Transmission System</v>
      </c>
      <c r="J140" s="13" t="s">
        <v>201</v>
      </c>
      <c r="K140" s="12" t="s">
        <v>27</v>
      </c>
      <c r="L140" s="13" t="s">
        <v>200</v>
      </c>
      <c r="M140" s="14" t="s">
        <v>27</v>
      </c>
      <c r="N140" s="14" t="s">
        <v>27</v>
      </c>
      <c r="O140" s="110">
        <v>0</v>
      </c>
      <c r="P140" s="111">
        <v>0</v>
      </c>
      <c r="Q140" s="112">
        <v>0</v>
      </c>
      <c r="R140" s="113">
        <v>7300</v>
      </c>
      <c r="S140" s="113">
        <v>7250</v>
      </c>
      <c r="T140" s="113">
        <v>0</v>
      </c>
      <c r="U140" s="114">
        <v>0</v>
      </c>
      <c r="V140" s="111">
        <v>0</v>
      </c>
      <c r="W140" s="115">
        <f>SUM(Q140:U140)</f>
        <v>14550</v>
      </c>
      <c r="X140" s="116">
        <f>SUM(O140:V140)</f>
        <v>14550</v>
      </c>
      <c r="Y140" s="15" t="s">
        <v>338</v>
      </c>
      <c r="Z140" s="47" t="s">
        <v>286</v>
      </c>
      <c r="AA140" s="17" t="s">
        <v>335</v>
      </c>
      <c r="AB140" s="68"/>
    </row>
    <row r="141" spans="1:28" s="44" customFormat="1" ht="30" customHeight="1" x14ac:dyDescent="0.45">
      <c r="A141" s="9">
        <v>49</v>
      </c>
      <c r="B141" s="10">
        <v>1324</v>
      </c>
      <c r="C141" s="11" t="s">
        <v>83</v>
      </c>
      <c r="D141" s="9">
        <f>VLOOKUP(PhasesTable[[#This Row],[CIP '#]],ProjectsTable[[CIP '#]:[Project Classification 3]],5,FALSE)</f>
        <v>122</v>
      </c>
      <c r="E141" s="9">
        <f>VLOOKUP(PhasesTable[[#This Row],[CIP '#]],ProjectsTable[[CIP '#]:[Project Classification 3]],6,FALSE)</f>
        <v>122006</v>
      </c>
      <c r="F141" s="12" t="s">
        <v>24</v>
      </c>
      <c r="G141" s="13" t="str">
        <f>VLOOKUP(PhasesTable[[#This Row],[CIP '#]],ProjectsTable[[CIP '#]:[Project Classification 3]],8,FALSE)</f>
        <v>Water</v>
      </c>
      <c r="H141" s="12" t="str">
        <f>VLOOKUP(PhasesTable[[#This Row],[CIP '#]],ProjectsTable[[CIP '#]:[Project Classification 3]],9,FALSE)</f>
        <v>Field Services</v>
      </c>
      <c r="I141" s="13" t="str">
        <f>VLOOKUP(PhasesTable[[#This Row],[CIP '#]],ProjectsTable[[CIP '#]:[Project Classification 3]],10,FALSE)</f>
        <v>Transmission System</v>
      </c>
      <c r="J141" s="13" t="s">
        <v>201</v>
      </c>
      <c r="K141" s="12" t="s">
        <v>27</v>
      </c>
      <c r="L141" s="13" t="s">
        <v>200</v>
      </c>
      <c r="M141" s="14" t="s">
        <v>27</v>
      </c>
      <c r="N141" s="14" t="s">
        <v>27</v>
      </c>
      <c r="O141" s="110">
        <v>0</v>
      </c>
      <c r="P141" s="111">
        <v>10000</v>
      </c>
      <c r="Q141" s="112">
        <v>9350</v>
      </c>
      <c r="R141" s="113">
        <v>0</v>
      </c>
      <c r="S141" s="113">
        <v>0</v>
      </c>
      <c r="T141" s="113">
        <v>0</v>
      </c>
      <c r="U141" s="114">
        <v>0</v>
      </c>
      <c r="V141" s="111">
        <v>0</v>
      </c>
      <c r="W141" s="115">
        <f>SUM(Q141:U141)</f>
        <v>9350</v>
      </c>
      <c r="X141" s="116">
        <f>SUM(O141:V141)</f>
        <v>19350</v>
      </c>
      <c r="Y141" s="15" t="s">
        <v>338</v>
      </c>
      <c r="Z141" s="47" t="s">
        <v>286</v>
      </c>
      <c r="AA141" s="17" t="s">
        <v>335</v>
      </c>
      <c r="AB141" s="67"/>
    </row>
    <row r="142" spans="1:28" s="19" customFormat="1" ht="30" customHeight="1" x14ac:dyDescent="0.45">
      <c r="A142" s="51">
        <v>222</v>
      </c>
      <c r="B142" s="38">
        <v>1325</v>
      </c>
      <c r="C142" s="39" t="s">
        <v>108</v>
      </c>
      <c r="D142" s="38">
        <f>VLOOKUP(PhasesTable[[#This Row],[CIP '#]],ProjectsTable[[CIP '#]:[Project Classification 3]],5,FALSE)</f>
        <v>1708</v>
      </c>
      <c r="E142" s="38">
        <f>VLOOKUP(PhasesTable[[#This Row],[CIP '#]],ProjectsTable[[CIP '#]:[Project Classification 3]],6,FALSE)</f>
        <v>170800</v>
      </c>
      <c r="F142" s="40" t="s">
        <v>24</v>
      </c>
      <c r="G142" s="52" t="str">
        <f>VLOOKUP(PhasesTable[[#This Row],[CIP '#]],ProjectsTable[[CIP '#]:[Project Classification 3]],8,FALSE)</f>
        <v>Water</v>
      </c>
      <c r="H142" s="53" t="str">
        <f>VLOOKUP(PhasesTable[[#This Row],[CIP '#]],ProjectsTable[[CIP '#]:[Project Classification 3]],9,FALSE)</f>
        <v>Programs</v>
      </c>
      <c r="I142" s="52" t="str">
        <f>VLOOKUP(PhasesTable[[#This Row],[CIP '#]],ProjectsTable[[CIP '#]:[Project Classification 3]],10,FALSE)</f>
        <v>Programs</v>
      </c>
      <c r="J142" s="41" t="s">
        <v>215</v>
      </c>
      <c r="K142" s="40" t="s">
        <v>308</v>
      </c>
      <c r="L142" s="41" t="s">
        <v>200</v>
      </c>
      <c r="M142" s="42" t="s">
        <v>27</v>
      </c>
      <c r="N142" s="42" t="s">
        <v>27</v>
      </c>
      <c r="O142" s="137">
        <v>0</v>
      </c>
      <c r="P142" s="130">
        <v>50</v>
      </c>
      <c r="Q142" s="131">
        <v>1800</v>
      </c>
      <c r="R142" s="132">
        <v>50</v>
      </c>
      <c r="S142" s="132">
        <v>50</v>
      </c>
      <c r="T142" s="132">
        <v>50</v>
      </c>
      <c r="U142" s="133">
        <v>0</v>
      </c>
      <c r="V142" s="130">
        <v>0</v>
      </c>
      <c r="W142" s="134">
        <f>SUM(Q142:U142)</f>
        <v>1950</v>
      </c>
      <c r="X142" s="135">
        <f>SUM(O142:V142)</f>
        <v>2000</v>
      </c>
      <c r="Y142" s="15" t="s">
        <v>338</v>
      </c>
      <c r="Z142" s="54" t="s">
        <v>288</v>
      </c>
      <c r="AA142" s="17" t="s">
        <v>335</v>
      </c>
      <c r="AB142" s="50"/>
    </row>
    <row r="143" spans="1:28" s="58" customFormat="1" ht="30" customHeight="1" x14ac:dyDescent="0.45">
      <c r="A143" s="37">
        <v>69</v>
      </c>
      <c r="B143" s="38">
        <v>1325</v>
      </c>
      <c r="C143" s="39" t="s">
        <v>108</v>
      </c>
      <c r="D143" s="37">
        <f>VLOOKUP(PhasesTable[[#This Row],[CIP '#]],ProjectsTable[[CIP '#]:[Project Classification 3]],5,FALSE)</f>
        <v>1708</v>
      </c>
      <c r="E143" s="37">
        <f>VLOOKUP(PhasesTable[[#This Row],[CIP '#]],ProjectsTable[[CIP '#]:[Project Classification 3]],6,FALSE)</f>
        <v>170800</v>
      </c>
      <c r="F143" s="40" t="s">
        <v>24</v>
      </c>
      <c r="G143" s="41" t="str">
        <f>VLOOKUP(PhasesTable[[#This Row],[CIP '#]],ProjectsTable[[CIP '#]:[Project Classification 3]],8,FALSE)</f>
        <v>Water</v>
      </c>
      <c r="H143" s="40" t="str">
        <f>VLOOKUP(PhasesTable[[#This Row],[CIP '#]],ProjectsTable[[CIP '#]:[Project Classification 3]],9,FALSE)</f>
        <v>Programs</v>
      </c>
      <c r="I143" s="41" t="str">
        <f>VLOOKUP(PhasesTable[[#This Row],[CIP '#]],ProjectsTable[[CIP '#]:[Project Classification 3]],10,FALSE)</f>
        <v>Programs</v>
      </c>
      <c r="J143" s="41" t="s">
        <v>201</v>
      </c>
      <c r="K143" s="40" t="s">
        <v>27</v>
      </c>
      <c r="L143" s="41" t="s">
        <v>200</v>
      </c>
      <c r="M143" s="42" t="s">
        <v>27</v>
      </c>
      <c r="N143" s="42" t="s">
        <v>27</v>
      </c>
      <c r="O143" s="129">
        <v>0</v>
      </c>
      <c r="P143" s="130">
        <v>0</v>
      </c>
      <c r="Q143" s="131">
        <v>1500</v>
      </c>
      <c r="R143" s="132">
        <v>2500</v>
      </c>
      <c r="S143" s="132">
        <v>2500</v>
      </c>
      <c r="T143" s="132">
        <v>2500</v>
      </c>
      <c r="U143" s="133">
        <v>0</v>
      </c>
      <c r="V143" s="130">
        <v>0</v>
      </c>
      <c r="W143" s="134">
        <f>SUM(Q143:U143)</f>
        <v>9000</v>
      </c>
      <c r="X143" s="135">
        <f>SUM(O143:V143)</f>
        <v>9000</v>
      </c>
      <c r="Y143" s="15" t="s">
        <v>338</v>
      </c>
      <c r="Z143" s="54" t="s">
        <v>288</v>
      </c>
      <c r="AA143" s="17" t="s">
        <v>335</v>
      </c>
      <c r="AB143" s="70"/>
    </row>
    <row r="144" spans="1:28" s="58" customFormat="1" ht="30" customHeight="1" x14ac:dyDescent="0.45">
      <c r="A144" s="9">
        <v>50</v>
      </c>
      <c r="B144" s="10">
        <v>1326</v>
      </c>
      <c r="C144" s="11" t="s">
        <v>84</v>
      </c>
      <c r="D144" s="9">
        <f>VLOOKUP(PhasesTable[[#This Row],[CIP '#]],ProjectsTable[[CIP '#]:[Project Classification 3]],5,FALSE)</f>
        <v>122</v>
      </c>
      <c r="E144" s="9">
        <f>VLOOKUP(PhasesTable[[#This Row],[CIP '#]],ProjectsTable[[CIP '#]:[Project Classification 3]],6,FALSE)</f>
        <v>122007</v>
      </c>
      <c r="F144" s="12" t="s">
        <v>24</v>
      </c>
      <c r="G144" s="13" t="str">
        <f>VLOOKUP(PhasesTable[[#This Row],[CIP '#]],ProjectsTable[[CIP '#]:[Project Classification 3]],8,FALSE)</f>
        <v>Water</v>
      </c>
      <c r="H144" s="12" t="str">
        <f>VLOOKUP(PhasesTable[[#This Row],[CIP '#]],ProjectsTable[[CIP '#]:[Project Classification 3]],9,FALSE)</f>
        <v>Field Services</v>
      </c>
      <c r="I144" s="13" t="str">
        <f>VLOOKUP(PhasesTable[[#This Row],[CIP '#]],ProjectsTable[[CIP '#]:[Project Classification 3]],10,FALSE)</f>
        <v>Transmission System</v>
      </c>
      <c r="J144" s="13" t="s">
        <v>199</v>
      </c>
      <c r="K144" s="12" t="s">
        <v>27</v>
      </c>
      <c r="L144" s="13" t="s">
        <v>200</v>
      </c>
      <c r="M144" s="14" t="s">
        <v>27</v>
      </c>
      <c r="N144" s="14" t="s">
        <v>27</v>
      </c>
      <c r="O144" s="110">
        <v>0</v>
      </c>
      <c r="P144" s="111">
        <v>0</v>
      </c>
      <c r="Q144" s="112">
        <v>1800</v>
      </c>
      <c r="R144" s="113">
        <v>2200</v>
      </c>
      <c r="S144" s="113">
        <v>0</v>
      </c>
      <c r="T144" s="113">
        <v>0</v>
      </c>
      <c r="U144" s="114">
        <v>0</v>
      </c>
      <c r="V144" s="111">
        <v>0</v>
      </c>
      <c r="W144" s="115">
        <f>SUM(Q144:U144)</f>
        <v>4000</v>
      </c>
      <c r="X144" s="116">
        <f>SUM(O144:V144)</f>
        <v>4000</v>
      </c>
      <c r="Y144" s="15" t="s">
        <v>338</v>
      </c>
      <c r="Z144" s="47" t="s">
        <v>286</v>
      </c>
      <c r="AA144" s="17" t="s">
        <v>335</v>
      </c>
      <c r="AB144" s="70"/>
    </row>
    <row r="145" spans="1:28" s="44" customFormat="1" ht="30" customHeight="1" x14ac:dyDescent="0.45">
      <c r="A145" s="9">
        <v>37</v>
      </c>
      <c r="B145" s="10">
        <v>1327</v>
      </c>
      <c r="C145" s="11" t="s">
        <v>68</v>
      </c>
      <c r="D145" s="9">
        <f>VLOOKUP(PhasesTable[[#This Row],[CIP '#]],ProjectsTable[[CIP '#]:[Project Classification 3]],5,FALSE)</f>
        <v>116</v>
      </c>
      <c r="E145" s="9">
        <f>VLOOKUP(PhasesTable[[#This Row],[CIP '#]],ProjectsTable[[CIP '#]:[Project Classification 3]],6,FALSE)</f>
        <v>116002</v>
      </c>
      <c r="F145" s="12" t="s">
        <v>24</v>
      </c>
      <c r="G145" s="13" t="str">
        <f>VLOOKUP(PhasesTable[[#This Row],[CIP '#]],ProjectsTable[[CIP '#]:[Project Classification 3]],8,FALSE)</f>
        <v>Water</v>
      </c>
      <c r="H145" s="12" t="str">
        <f>VLOOKUP(PhasesTable[[#This Row],[CIP '#]],ProjectsTable[[CIP '#]:[Project Classification 3]],9,FALSE)</f>
        <v>Treatment Plants &amp; Facilities</v>
      </c>
      <c r="I145" s="13" t="str">
        <f>VLOOKUP(PhasesTable[[#This Row],[CIP '#]],ProjectsTable[[CIP '#]:[Project Classification 3]],10,FALSE)</f>
        <v>General Purpose</v>
      </c>
      <c r="J145" s="13" t="s">
        <v>225</v>
      </c>
      <c r="K145" s="12" t="s">
        <v>309</v>
      </c>
      <c r="L145" s="13" t="s">
        <v>200</v>
      </c>
      <c r="M145" s="14" t="s">
        <v>27</v>
      </c>
      <c r="N145" s="14" t="s">
        <v>27</v>
      </c>
      <c r="O145" s="110">
        <v>0</v>
      </c>
      <c r="P145" s="111">
        <v>500</v>
      </c>
      <c r="Q145" s="112">
        <v>2000</v>
      </c>
      <c r="R145" s="113">
        <v>10000</v>
      </c>
      <c r="S145" s="113">
        <v>15000</v>
      </c>
      <c r="T145" s="113">
        <v>4900</v>
      </c>
      <c r="U145" s="114">
        <v>0</v>
      </c>
      <c r="V145" s="111">
        <v>0</v>
      </c>
      <c r="W145" s="115">
        <f>SUM(Q145:U145)</f>
        <v>31900</v>
      </c>
      <c r="X145" s="116">
        <f>SUM(O145:V145)</f>
        <v>32400</v>
      </c>
      <c r="Y145" s="15" t="s">
        <v>338</v>
      </c>
      <c r="Z145" s="16" t="s">
        <v>288</v>
      </c>
      <c r="AA145" s="17" t="s">
        <v>335</v>
      </c>
      <c r="AB145" s="67"/>
    </row>
    <row r="146" spans="1:28" s="18" customFormat="1" ht="30" customHeight="1" x14ac:dyDescent="0.45">
      <c r="A146" s="29">
        <v>152</v>
      </c>
      <c r="B146" s="30">
        <v>1329</v>
      </c>
      <c r="C146" s="31" t="s">
        <v>160</v>
      </c>
      <c r="D146" s="29">
        <f>VLOOKUP(PhasesTable[[#This Row],[CIP '#]],ProjectsTable[[CIP '#]:[Project Classification 3]],5,FALSE)</f>
        <v>222</v>
      </c>
      <c r="E146" s="29">
        <f>VLOOKUP(PhasesTable[[#This Row],[CIP '#]],ProjectsTable[[CIP '#]:[Project Classification 3]],6,FALSE)</f>
        <v>222002</v>
      </c>
      <c r="F146" s="32" t="s">
        <v>119</v>
      </c>
      <c r="G146" s="23" t="str">
        <f>VLOOKUP(PhasesTable[[#This Row],[CIP '#]],ProjectsTable[[CIP '#]:[Project Classification 3]],8,FALSE)</f>
        <v>Wastewater</v>
      </c>
      <c r="H146" s="24" t="str">
        <f>VLOOKUP(PhasesTable[[#This Row],[CIP '#]],ProjectsTable[[CIP '#]:[Project Classification 3]],9,FALSE)</f>
        <v>Field Services</v>
      </c>
      <c r="I146" s="32" t="str">
        <f>VLOOKUP(PhasesTable[[#This Row],[CIP '#]],ProjectsTable[[CIP '#]:[Project Classification 3]],10,FALSE)</f>
        <v>Interceptors</v>
      </c>
      <c r="J146" s="32" t="s">
        <v>201</v>
      </c>
      <c r="K146" s="34" t="s">
        <v>27</v>
      </c>
      <c r="L146" s="32" t="s">
        <v>200</v>
      </c>
      <c r="M146" s="35" t="s">
        <v>27</v>
      </c>
      <c r="N146" s="35" t="s">
        <v>27</v>
      </c>
      <c r="O146" s="123">
        <v>0</v>
      </c>
      <c r="P146" s="123">
        <v>0</v>
      </c>
      <c r="Q146" s="124">
        <v>9200</v>
      </c>
      <c r="R146" s="125">
        <v>4600</v>
      </c>
      <c r="S146" s="125">
        <v>4600</v>
      </c>
      <c r="T146" s="125">
        <v>0</v>
      </c>
      <c r="U146" s="126">
        <v>0</v>
      </c>
      <c r="V146" s="123">
        <v>0</v>
      </c>
      <c r="W146" s="127">
        <f>SUM(Q146:U146)</f>
        <v>18400</v>
      </c>
      <c r="X146" s="128">
        <f>SUM(O146:V146)</f>
        <v>18400</v>
      </c>
      <c r="Y146" s="26" t="s">
        <v>338</v>
      </c>
      <c r="Z146" s="36" t="s">
        <v>290</v>
      </c>
      <c r="AA146" s="28" t="s">
        <v>335</v>
      </c>
    </row>
    <row r="147" spans="1:28" s="18" customFormat="1" ht="30" customHeight="1" x14ac:dyDescent="0.45">
      <c r="A147" s="29">
        <v>153</v>
      </c>
      <c r="B147" s="30">
        <v>1329</v>
      </c>
      <c r="C147" s="31" t="s">
        <v>160</v>
      </c>
      <c r="D147" s="29">
        <f>VLOOKUP(PhasesTable[[#This Row],[CIP '#]],ProjectsTable[[CIP '#]:[Project Classification 3]],5,FALSE)</f>
        <v>222</v>
      </c>
      <c r="E147" s="29">
        <f>VLOOKUP(PhasesTable[[#This Row],[CIP '#]],ProjectsTable[[CIP '#]:[Project Classification 3]],6,FALSE)</f>
        <v>222002</v>
      </c>
      <c r="F147" s="32" t="s">
        <v>119</v>
      </c>
      <c r="G147" s="23" t="str">
        <f>VLOOKUP(PhasesTable[[#This Row],[CIP '#]],ProjectsTable[[CIP '#]:[Project Classification 3]],8,FALSE)</f>
        <v>Wastewater</v>
      </c>
      <c r="H147" s="24" t="str">
        <f>VLOOKUP(PhasesTable[[#This Row],[CIP '#]],ProjectsTable[[CIP '#]:[Project Classification 3]],9,FALSE)</f>
        <v>Field Services</v>
      </c>
      <c r="I147" s="32" t="str">
        <f>VLOOKUP(PhasesTable[[#This Row],[CIP '#]],ProjectsTable[[CIP '#]:[Project Classification 3]],10,FALSE)</f>
        <v>Interceptors</v>
      </c>
      <c r="J147" s="32" t="s">
        <v>206</v>
      </c>
      <c r="K147" s="34" t="s">
        <v>27</v>
      </c>
      <c r="L147" s="32" t="s">
        <v>200</v>
      </c>
      <c r="M147" s="35" t="s">
        <v>27</v>
      </c>
      <c r="N147" s="35" t="s">
        <v>27</v>
      </c>
      <c r="O147" s="123">
        <v>0</v>
      </c>
      <c r="P147" s="123">
        <v>0</v>
      </c>
      <c r="Q147" s="124">
        <v>500</v>
      </c>
      <c r="R147" s="125">
        <v>250</v>
      </c>
      <c r="S147" s="125">
        <v>250</v>
      </c>
      <c r="T147" s="125">
        <v>0</v>
      </c>
      <c r="U147" s="126">
        <v>0</v>
      </c>
      <c r="V147" s="123">
        <v>0</v>
      </c>
      <c r="W147" s="127">
        <f>SUM(Q147:U147)</f>
        <v>1000</v>
      </c>
      <c r="X147" s="128">
        <f>SUM(O147:V147)</f>
        <v>1000</v>
      </c>
      <c r="Y147" s="26" t="s">
        <v>338</v>
      </c>
      <c r="Z147" s="36" t="s">
        <v>286</v>
      </c>
      <c r="AA147" s="28" t="s">
        <v>335</v>
      </c>
    </row>
    <row r="148" spans="1:28" s="18" customFormat="1" ht="30" customHeight="1" x14ac:dyDescent="0.45">
      <c r="A148" s="29">
        <v>154</v>
      </c>
      <c r="B148" s="30">
        <v>1329</v>
      </c>
      <c r="C148" s="31" t="s">
        <v>160</v>
      </c>
      <c r="D148" s="29">
        <f>VLOOKUP(PhasesTable[[#This Row],[CIP '#]],ProjectsTable[[CIP '#]:[Project Classification 3]],5,FALSE)</f>
        <v>222</v>
      </c>
      <c r="E148" s="29">
        <f>VLOOKUP(PhasesTable[[#This Row],[CIP '#]],ProjectsTable[[CIP '#]:[Project Classification 3]],6,FALSE)</f>
        <v>222002</v>
      </c>
      <c r="F148" s="32" t="s">
        <v>119</v>
      </c>
      <c r="G148" s="23" t="str">
        <f>VLOOKUP(PhasesTable[[#This Row],[CIP '#]],ProjectsTable[[CIP '#]:[Project Classification 3]],8,FALSE)</f>
        <v>Wastewater</v>
      </c>
      <c r="H148" s="24" t="str">
        <f>VLOOKUP(PhasesTable[[#This Row],[CIP '#]],ProjectsTable[[CIP '#]:[Project Classification 3]],9,FALSE)</f>
        <v>Field Services</v>
      </c>
      <c r="I148" s="32" t="str">
        <f>VLOOKUP(PhasesTable[[#This Row],[CIP '#]],ProjectsTable[[CIP '#]:[Project Classification 3]],10,FALSE)</f>
        <v>Interceptors</v>
      </c>
      <c r="J148" s="32" t="s">
        <v>204</v>
      </c>
      <c r="K148" s="34" t="s">
        <v>27</v>
      </c>
      <c r="L148" s="32" t="s">
        <v>200</v>
      </c>
      <c r="M148" s="35" t="s">
        <v>27</v>
      </c>
      <c r="N148" s="35" t="s">
        <v>27</v>
      </c>
      <c r="O148" s="123">
        <v>0</v>
      </c>
      <c r="P148" s="123">
        <v>321</v>
      </c>
      <c r="Q148" s="124">
        <v>300</v>
      </c>
      <c r="R148" s="125">
        <v>150</v>
      </c>
      <c r="S148" s="125">
        <v>150</v>
      </c>
      <c r="T148" s="125">
        <v>0</v>
      </c>
      <c r="U148" s="126">
        <v>0</v>
      </c>
      <c r="V148" s="123">
        <v>0</v>
      </c>
      <c r="W148" s="127">
        <f>SUM(Q148:U148)</f>
        <v>600</v>
      </c>
      <c r="X148" s="128">
        <f>SUM(O148:V148)</f>
        <v>921</v>
      </c>
      <c r="Y148" s="26" t="s">
        <v>338</v>
      </c>
      <c r="Z148" s="36" t="s">
        <v>287</v>
      </c>
      <c r="AA148" s="28" t="s">
        <v>335</v>
      </c>
    </row>
    <row r="149" spans="1:28" s="18" customFormat="1" ht="30" customHeight="1" x14ac:dyDescent="0.45">
      <c r="A149" s="29">
        <v>178</v>
      </c>
      <c r="B149" s="30">
        <v>1330</v>
      </c>
      <c r="C149" s="31" t="s">
        <v>171</v>
      </c>
      <c r="D149" s="29">
        <f>VLOOKUP(PhasesTable[[#This Row],[CIP '#]],ProjectsTable[[CIP '#]:[Project Classification 3]],5,FALSE)</f>
        <v>2603</v>
      </c>
      <c r="E149" s="29">
        <f>VLOOKUP(PhasesTable[[#This Row],[CIP '#]],ProjectsTable[[CIP '#]:[Project Classification 3]],6,FALSE)</f>
        <v>260300</v>
      </c>
      <c r="F149" s="32" t="s">
        <v>119</v>
      </c>
      <c r="G149" s="23" t="str">
        <f>VLOOKUP(PhasesTable[[#This Row],[CIP '#]],ProjectsTable[[CIP '#]:[Project Classification 3]],8,FALSE)</f>
        <v>Wastewater</v>
      </c>
      <c r="H149" s="24" t="str">
        <f>VLOOKUP(PhasesTable[[#This Row],[CIP '#]],ProjectsTable[[CIP '#]:[Project Classification 3]],9,FALSE)</f>
        <v>Programs</v>
      </c>
      <c r="I149" s="33" t="str">
        <f>VLOOKUP(PhasesTable[[#This Row],[CIP '#]],ProjectsTable[[CIP '#]:[Project Classification 3]],10,FALSE)</f>
        <v>Programs</v>
      </c>
      <c r="J149" s="32" t="s">
        <v>201</v>
      </c>
      <c r="K149" s="34" t="s">
        <v>27</v>
      </c>
      <c r="L149" s="32" t="s">
        <v>200</v>
      </c>
      <c r="M149" s="35" t="s">
        <v>27</v>
      </c>
      <c r="N149" s="35" t="s">
        <v>27</v>
      </c>
      <c r="O149" s="123">
        <v>0</v>
      </c>
      <c r="P149" s="123">
        <v>0</v>
      </c>
      <c r="Q149" s="124">
        <v>1721</v>
      </c>
      <c r="R149" s="125">
        <v>4500</v>
      </c>
      <c r="S149" s="125">
        <v>4500</v>
      </c>
      <c r="T149" s="125">
        <v>4500</v>
      </c>
      <c r="U149" s="126">
        <v>4500</v>
      </c>
      <c r="V149" s="123">
        <v>0</v>
      </c>
      <c r="W149" s="127">
        <f>SUM(Q149:U149)</f>
        <v>19721</v>
      </c>
      <c r="X149" s="128">
        <f>SUM(O149:V149)</f>
        <v>19721</v>
      </c>
      <c r="Y149" s="26" t="s">
        <v>338</v>
      </c>
      <c r="Z149" s="36" t="s">
        <v>288</v>
      </c>
      <c r="AA149" s="28" t="s">
        <v>335</v>
      </c>
    </row>
    <row r="150" spans="1:28" s="43" customFormat="1" ht="30" customHeight="1" x14ac:dyDescent="0.45">
      <c r="A150" s="29">
        <v>180</v>
      </c>
      <c r="B150" s="30">
        <v>1330</v>
      </c>
      <c r="C150" s="31" t="s">
        <v>171</v>
      </c>
      <c r="D150" s="29">
        <f>VLOOKUP(PhasesTable[[#This Row],[CIP '#]],ProjectsTable[[CIP '#]:[Project Classification 3]],5,FALSE)</f>
        <v>2603</v>
      </c>
      <c r="E150" s="29">
        <f>VLOOKUP(PhasesTable[[#This Row],[CIP '#]],ProjectsTable[[CIP '#]:[Project Classification 3]],6,FALSE)</f>
        <v>260300</v>
      </c>
      <c r="F150" s="32" t="s">
        <v>119</v>
      </c>
      <c r="G150" s="23" t="str">
        <f>VLOOKUP(PhasesTable[[#This Row],[CIP '#]],ProjectsTable[[CIP '#]:[Project Classification 3]],8,FALSE)</f>
        <v>Wastewater</v>
      </c>
      <c r="H150" s="24" t="str">
        <f>VLOOKUP(PhasesTable[[#This Row],[CIP '#]],ProjectsTable[[CIP '#]:[Project Classification 3]],9,FALSE)</f>
        <v>Programs</v>
      </c>
      <c r="I150" s="33" t="str">
        <f>VLOOKUP(PhasesTable[[#This Row],[CIP '#]],ProjectsTable[[CIP '#]:[Project Classification 3]],10,FALSE)</f>
        <v>Programs</v>
      </c>
      <c r="J150" s="32" t="s">
        <v>274</v>
      </c>
      <c r="K150" s="34" t="s">
        <v>275</v>
      </c>
      <c r="L150" s="32" t="s">
        <v>200</v>
      </c>
      <c r="M150" s="35" t="s">
        <v>27</v>
      </c>
      <c r="N150" s="35" t="s">
        <v>27</v>
      </c>
      <c r="O150" s="123">
        <v>0</v>
      </c>
      <c r="P150" s="123">
        <v>0</v>
      </c>
      <c r="Q150" s="124">
        <v>1500</v>
      </c>
      <c r="R150" s="125">
        <v>0</v>
      </c>
      <c r="S150" s="125">
        <v>0</v>
      </c>
      <c r="T150" s="125">
        <v>0</v>
      </c>
      <c r="U150" s="126">
        <v>0</v>
      </c>
      <c r="V150" s="123">
        <v>0</v>
      </c>
      <c r="W150" s="127">
        <f>SUM(Q150:U150)</f>
        <v>1500</v>
      </c>
      <c r="X150" s="128">
        <f>SUM(O150:V150)</f>
        <v>1500</v>
      </c>
      <c r="Y150" s="26" t="s">
        <v>338</v>
      </c>
      <c r="Z150" s="36" t="s">
        <v>288</v>
      </c>
      <c r="AA150" s="28" t="s">
        <v>335</v>
      </c>
    </row>
    <row r="151" spans="1:28" s="18" customFormat="1" ht="30" customHeight="1" x14ac:dyDescent="0.45">
      <c r="A151" s="29">
        <v>240</v>
      </c>
      <c r="B151" s="30">
        <v>1330</v>
      </c>
      <c r="C151" s="31" t="s">
        <v>171</v>
      </c>
      <c r="D151" s="30">
        <f>VLOOKUP(PhasesTable[[#This Row],[CIP '#]],ProjectsTable[[CIP '#]:[Project Classification 3]],5,FALSE)</f>
        <v>2603</v>
      </c>
      <c r="E151" s="30">
        <f>VLOOKUP(PhasesTable[[#This Row],[CIP '#]],ProjectsTable[[CIP '#]:[Project Classification 3]],6,FALSE)</f>
        <v>260300</v>
      </c>
      <c r="F151" s="32" t="s">
        <v>119</v>
      </c>
      <c r="G151" s="63" t="str">
        <f>VLOOKUP(PhasesTable[[#This Row],[CIP '#]],ProjectsTable[[CIP '#]:[Project Classification 3]],8,FALSE)</f>
        <v>Wastewater</v>
      </c>
      <c r="H151" s="65" t="str">
        <f>VLOOKUP(PhasesTable[[#This Row],[CIP '#]],ProjectsTable[[CIP '#]:[Project Classification 3]],9,FALSE)</f>
        <v>Programs</v>
      </c>
      <c r="I151" s="65" t="str">
        <f>VLOOKUP(PhasesTable[[#This Row],[CIP '#]],ProjectsTable[[CIP '#]:[Project Classification 3]],10,FALSE)</f>
        <v>Programs</v>
      </c>
      <c r="J151" s="32" t="s">
        <v>201</v>
      </c>
      <c r="K151" s="34" t="s">
        <v>317</v>
      </c>
      <c r="L151" s="32" t="s">
        <v>222</v>
      </c>
      <c r="M151" s="35" t="s">
        <v>27</v>
      </c>
      <c r="N151" s="35" t="s">
        <v>27</v>
      </c>
      <c r="O151" s="123">
        <v>0</v>
      </c>
      <c r="P151" s="123">
        <v>500</v>
      </c>
      <c r="Q151" s="124">
        <v>1279</v>
      </c>
      <c r="R151" s="125">
        <v>0</v>
      </c>
      <c r="S151" s="125">
        <v>0</v>
      </c>
      <c r="T151" s="125">
        <v>0</v>
      </c>
      <c r="U151" s="126">
        <v>0</v>
      </c>
      <c r="V151" s="123">
        <v>0</v>
      </c>
      <c r="W151" s="127">
        <f>SUM(Q151:U151)</f>
        <v>1279</v>
      </c>
      <c r="X151" s="128">
        <f>SUM(O151:V151)</f>
        <v>1779</v>
      </c>
      <c r="Y151" s="26" t="s">
        <v>338</v>
      </c>
      <c r="Z151" s="36" t="s">
        <v>288</v>
      </c>
      <c r="AA151" s="28" t="s">
        <v>335</v>
      </c>
    </row>
    <row r="152" spans="1:28" s="18" customFormat="1" ht="30" customHeight="1" x14ac:dyDescent="0.45">
      <c r="A152" s="29">
        <v>179</v>
      </c>
      <c r="B152" s="30">
        <v>1330</v>
      </c>
      <c r="C152" s="31" t="s">
        <v>171</v>
      </c>
      <c r="D152" s="29">
        <f>VLOOKUP(PhasesTable[[#This Row],[CIP '#]],ProjectsTable[[CIP '#]:[Project Classification 3]],5,FALSE)</f>
        <v>2603</v>
      </c>
      <c r="E152" s="29">
        <f>VLOOKUP(PhasesTable[[#This Row],[CIP '#]],ProjectsTable[[CIP '#]:[Project Classification 3]],6,FALSE)</f>
        <v>260300</v>
      </c>
      <c r="F152" s="32" t="s">
        <v>119</v>
      </c>
      <c r="G152" s="23" t="str">
        <f>VLOOKUP(PhasesTable[[#This Row],[CIP '#]],ProjectsTable[[CIP '#]:[Project Classification 3]],8,FALSE)</f>
        <v>Wastewater</v>
      </c>
      <c r="H152" s="24" t="str">
        <f>VLOOKUP(PhasesTable[[#This Row],[CIP '#]],ProjectsTable[[CIP '#]:[Project Classification 3]],9,FALSE)</f>
        <v>Programs</v>
      </c>
      <c r="I152" s="33" t="str">
        <f>VLOOKUP(PhasesTable[[#This Row],[CIP '#]],ProjectsTable[[CIP '#]:[Project Classification 3]],10,FALSE)</f>
        <v>Programs</v>
      </c>
      <c r="J152" s="32" t="s">
        <v>215</v>
      </c>
      <c r="K152" s="34" t="s">
        <v>27</v>
      </c>
      <c r="L152" s="32" t="s">
        <v>200</v>
      </c>
      <c r="M152" s="35" t="s">
        <v>27</v>
      </c>
      <c r="N152" s="35" t="s">
        <v>27</v>
      </c>
      <c r="O152" s="123">
        <v>0</v>
      </c>
      <c r="P152" s="123">
        <v>0</v>
      </c>
      <c r="Q152" s="124">
        <v>500</v>
      </c>
      <c r="R152" s="125">
        <v>500</v>
      </c>
      <c r="S152" s="125">
        <v>500</v>
      </c>
      <c r="T152" s="125">
        <v>500</v>
      </c>
      <c r="U152" s="126">
        <v>500</v>
      </c>
      <c r="V152" s="123">
        <v>0</v>
      </c>
      <c r="W152" s="127">
        <f>SUM(Q152:U152)</f>
        <v>2500</v>
      </c>
      <c r="X152" s="128">
        <f>SUM(O152:V152)</f>
        <v>2500</v>
      </c>
      <c r="Y152" s="26" t="s">
        <v>338</v>
      </c>
      <c r="Z152" s="36" t="s">
        <v>288</v>
      </c>
      <c r="AA152" s="28" t="s">
        <v>335</v>
      </c>
    </row>
    <row r="153" spans="1:28" s="18" customFormat="1" ht="30" customHeight="1" x14ac:dyDescent="0.45">
      <c r="A153" s="29">
        <v>170</v>
      </c>
      <c r="B153" s="30">
        <v>1331</v>
      </c>
      <c r="C153" s="31" t="s">
        <v>167</v>
      </c>
      <c r="D153" s="29">
        <f>VLOOKUP(PhasesTable[[#This Row],[CIP '#]],ProjectsTable[[CIP '#]:[Project Classification 3]],5,FALSE)</f>
        <v>232</v>
      </c>
      <c r="E153" s="29">
        <f>VLOOKUP(PhasesTable[[#This Row],[CIP '#]],ProjectsTable[[CIP '#]:[Project Classification 3]],6,FALSE)</f>
        <v>232003</v>
      </c>
      <c r="F153" s="32" t="s">
        <v>119</v>
      </c>
      <c r="G153" s="23" t="str">
        <f>VLOOKUP(PhasesTable[[#This Row],[CIP '#]],ProjectsTable[[CIP '#]:[Project Classification 3]],8,FALSE)</f>
        <v>Wastewater</v>
      </c>
      <c r="H153" s="24" t="str">
        <f>VLOOKUP(PhasesTable[[#This Row],[CIP '#]],ProjectsTable[[CIP '#]:[Project Classification 3]],9,FALSE)</f>
        <v>SCC</v>
      </c>
      <c r="I153" s="32" t="str">
        <f>VLOOKUP(PhasesTable[[#This Row],[CIP '#]],ProjectsTable[[CIP '#]:[Project Classification 3]],10,FALSE)</f>
        <v>Pumping Stations</v>
      </c>
      <c r="J153" s="32" t="s">
        <v>206</v>
      </c>
      <c r="K153" s="34" t="s">
        <v>27</v>
      </c>
      <c r="L153" s="32" t="s">
        <v>200</v>
      </c>
      <c r="M153" s="35" t="s">
        <v>27</v>
      </c>
      <c r="N153" s="35" t="s">
        <v>27</v>
      </c>
      <c r="O153" s="123">
        <v>0</v>
      </c>
      <c r="P153" s="123">
        <v>0</v>
      </c>
      <c r="Q153" s="124">
        <v>1628</v>
      </c>
      <c r="R153" s="125">
        <v>0</v>
      </c>
      <c r="S153" s="125">
        <v>0</v>
      </c>
      <c r="T153" s="125">
        <v>0</v>
      </c>
      <c r="U153" s="126">
        <v>0</v>
      </c>
      <c r="V153" s="123">
        <v>0</v>
      </c>
      <c r="W153" s="127">
        <f>SUM(Q153:U153)</f>
        <v>1628</v>
      </c>
      <c r="X153" s="128">
        <f>SUM(O153:V153)</f>
        <v>1628</v>
      </c>
      <c r="Y153" s="26" t="s">
        <v>338</v>
      </c>
      <c r="Z153" s="36" t="s">
        <v>286</v>
      </c>
      <c r="AA153" s="28" t="s">
        <v>342</v>
      </c>
    </row>
    <row r="154" spans="1:28" s="18" customFormat="1" ht="30" customHeight="1" x14ac:dyDescent="0.45">
      <c r="A154" s="29">
        <v>171</v>
      </c>
      <c r="B154" s="30">
        <v>1331</v>
      </c>
      <c r="C154" s="31" t="s">
        <v>167</v>
      </c>
      <c r="D154" s="29">
        <f>VLOOKUP(PhasesTable[[#This Row],[CIP '#]],ProjectsTable[[CIP '#]:[Project Classification 3]],5,FALSE)</f>
        <v>232</v>
      </c>
      <c r="E154" s="29">
        <f>VLOOKUP(PhasesTable[[#This Row],[CIP '#]],ProjectsTable[[CIP '#]:[Project Classification 3]],6,FALSE)</f>
        <v>232003</v>
      </c>
      <c r="F154" s="32" t="s">
        <v>119</v>
      </c>
      <c r="G154" s="23" t="str">
        <f>VLOOKUP(PhasesTable[[#This Row],[CIP '#]],ProjectsTable[[CIP '#]:[Project Classification 3]],8,FALSE)</f>
        <v>Wastewater</v>
      </c>
      <c r="H154" s="24" t="str">
        <f>VLOOKUP(PhasesTable[[#This Row],[CIP '#]],ProjectsTable[[CIP '#]:[Project Classification 3]],9,FALSE)</f>
        <v>SCC</v>
      </c>
      <c r="I154" s="32" t="str">
        <f>VLOOKUP(PhasesTable[[#This Row],[CIP '#]],ProjectsTable[[CIP '#]:[Project Classification 3]],10,FALSE)</f>
        <v>Pumping Stations</v>
      </c>
      <c r="J154" s="32" t="s">
        <v>204</v>
      </c>
      <c r="K154" s="34" t="s">
        <v>27</v>
      </c>
      <c r="L154" s="32" t="s">
        <v>200</v>
      </c>
      <c r="M154" s="35" t="s">
        <v>27</v>
      </c>
      <c r="N154" s="35" t="s">
        <v>27</v>
      </c>
      <c r="O154" s="123">
        <v>0</v>
      </c>
      <c r="P154" s="123">
        <v>0</v>
      </c>
      <c r="Q154" s="124">
        <v>780</v>
      </c>
      <c r="R154" s="125">
        <v>0</v>
      </c>
      <c r="S154" s="125">
        <v>0</v>
      </c>
      <c r="T154" s="125">
        <v>0</v>
      </c>
      <c r="U154" s="126">
        <v>0</v>
      </c>
      <c r="V154" s="123">
        <v>0</v>
      </c>
      <c r="W154" s="127">
        <f>SUM(Q154:U154)</f>
        <v>780</v>
      </c>
      <c r="X154" s="128">
        <f>SUM(O154:V154)</f>
        <v>780</v>
      </c>
      <c r="Y154" s="26" t="s">
        <v>338</v>
      </c>
      <c r="Z154" s="36" t="s">
        <v>287</v>
      </c>
      <c r="AA154" s="28" t="s">
        <v>342</v>
      </c>
    </row>
    <row r="155" spans="1:28" s="43" customFormat="1" ht="30" customHeight="1" x14ac:dyDescent="0.45">
      <c r="A155" s="29">
        <v>169</v>
      </c>
      <c r="B155" s="30">
        <v>1331</v>
      </c>
      <c r="C155" s="31" t="s">
        <v>167</v>
      </c>
      <c r="D155" s="29">
        <f>VLOOKUP(PhasesTable[[#This Row],[CIP '#]],ProjectsTable[[CIP '#]:[Project Classification 3]],5,FALSE)</f>
        <v>232</v>
      </c>
      <c r="E155" s="29">
        <f>VLOOKUP(PhasesTable[[#This Row],[CIP '#]],ProjectsTable[[CIP '#]:[Project Classification 3]],6,FALSE)</f>
        <v>232003</v>
      </c>
      <c r="F155" s="32" t="s">
        <v>119</v>
      </c>
      <c r="G155" s="23" t="str">
        <f>VLOOKUP(PhasesTable[[#This Row],[CIP '#]],ProjectsTable[[CIP '#]:[Project Classification 3]],8,FALSE)</f>
        <v>Wastewater</v>
      </c>
      <c r="H155" s="24" t="str">
        <f>VLOOKUP(PhasesTable[[#This Row],[CIP '#]],ProjectsTable[[CIP '#]:[Project Classification 3]],9,FALSE)</f>
        <v>SCC</v>
      </c>
      <c r="I155" s="32" t="str">
        <f>VLOOKUP(PhasesTable[[#This Row],[CIP '#]],ProjectsTable[[CIP '#]:[Project Classification 3]],10,FALSE)</f>
        <v>Pumping Stations</v>
      </c>
      <c r="J155" s="32" t="s">
        <v>201</v>
      </c>
      <c r="K155" s="34" t="s">
        <v>27</v>
      </c>
      <c r="L155" s="32" t="s">
        <v>200</v>
      </c>
      <c r="M155" s="35" t="s">
        <v>27</v>
      </c>
      <c r="N155" s="35" t="s">
        <v>27</v>
      </c>
      <c r="O155" s="123">
        <v>0</v>
      </c>
      <c r="P155" s="123">
        <v>0</v>
      </c>
      <c r="Q155" s="124">
        <v>0</v>
      </c>
      <c r="R155" s="125">
        <v>10920</v>
      </c>
      <c r="S155" s="125">
        <v>13000</v>
      </c>
      <c r="T155" s="125">
        <v>0</v>
      </c>
      <c r="U155" s="126">
        <v>0</v>
      </c>
      <c r="V155" s="123">
        <v>0</v>
      </c>
      <c r="W155" s="127">
        <f>SUM(Q155:U155)</f>
        <v>23920</v>
      </c>
      <c r="X155" s="128">
        <f>SUM(O155:V155)</f>
        <v>23920</v>
      </c>
      <c r="Y155" s="26" t="s">
        <v>338</v>
      </c>
      <c r="Z155" s="36" t="s">
        <v>286</v>
      </c>
      <c r="AA155" s="28" t="s">
        <v>342</v>
      </c>
    </row>
    <row r="156" spans="1:28" s="46" customFormat="1" ht="30" customHeight="1" x14ac:dyDescent="0.45">
      <c r="A156" s="29">
        <v>155</v>
      </c>
      <c r="B156" s="30">
        <v>1332</v>
      </c>
      <c r="C156" s="31" t="s">
        <v>161</v>
      </c>
      <c r="D156" s="29">
        <f>VLOOKUP(PhasesTable[[#This Row],[CIP '#]],ProjectsTable[[CIP '#]:[Project Classification 3]],5,FALSE)</f>
        <v>222</v>
      </c>
      <c r="E156" s="29">
        <f>VLOOKUP(PhasesTable[[#This Row],[CIP '#]],ProjectsTable[[CIP '#]:[Project Classification 3]],6,FALSE)</f>
        <v>222003</v>
      </c>
      <c r="F156" s="32" t="s">
        <v>119</v>
      </c>
      <c r="G156" s="23" t="str">
        <f>VLOOKUP(PhasesTable[[#This Row],[CIP '#]],ProjectsTable[[CIP '#]:[Project Classification 3]],8,FALSE)</f>
        <v>Wastewater</v>
      </c>
      <c r="H156" s="24" t="str">
        <f>VLOOKUP(PhasesTable[[#This Row],[CIP '#]],ProjectsTable[[CIP '#]:[Project Classification 3]],9,FALSE)</f>
        <v>Field Services</v>
      </c>
      <c r="I156" s="32" t="str">
        <f>VLOOKUP(PhasesTable[[#This Row],[CIP '#]],ProjectsTable[[CIP '#]:[Project Classification 3]],10,FALSE)</f>
        <v>Interceptors</v>
      </c>
      <c r="J156" s="32" t="s">
        <v>201</v>
      </c>
      <c r="K156" s="34" t="s">
        <v>27</v>
      </c>
      <c r="L156" s="32" t="s">
        <v>200</v>
      </c>
      <c r="M156" s="35" t="s">
        <v>27</v>
      </c>
      <c r="N156" s="35" t="s">
        <v>27</v>
      </c>
      <c r="O156" s="123">
        <v>0</v>
      </c>
      <c r="P156" s="123">
        <v>0</v>
      </c>
      <c r="Q156" s="124">
        <v>10120</v>
      </c>
      <c r="R156" s="125">
        <v>11130</v>
      </c>
      <c r="S156" s="125">
        <v>2760</v>
      </c>
      <c r="T156" s="125">
        <v>0</v>
      </c>
      <c r="U156" s="126">
        <v>0</v>
      </c>
      <c r="V156" s="123">
        <v>0</v>
      </c>
      <c r="W156" s="127">
        <f>SUM(Q156:U156)</f>
        <v>24010</v>
      </c>
      <c r="X156" s="128">
        <f>SUM(O156:V156)</f>
        <v>24010</v>
      </c>
      <c r="Y156" s="26" t="s">
        <v>338</v>
      </c>
      <c r="Z156" s="36" t="s">
        <v>286</v>
      </c>
      <c r="AA156" s="28" t="s">
        <v>342</v>
      </c>
    </row>
    <row r="157" spans="1:28" s="18" customFormat="1" ht="30" customHeight="1" x14ac:dyDescent="0.45">
      <c r="A157" s="29">
        <v>156</v>
      </c>
      <c r="B157" s="30">
        <v>1332</v>
      </c>
      <c r="C157" s="31" t="s">
        <v>161</v>
      </c>
      <c r="D157" s="29">
        <f>VLOOKUP(PhasesTable[[#This Row],[CIP '#]],ProjectsTable[[CIP '#]:[Project Classification 3]],5,FALSE)</f>
        <v>222</v>
      </c>
      <c r="E157" s="29">
        <f>VLOOKUP(PhasesTable[[#This Row],[CIP '#]],ProjectsTable[[CIP '#]:[Project Classification 3]],6,FALSE)</f>
        <v>222003</v>
      </c>
      <c r="F157" s="32" t="s">
        <v>119</v>
      </c>
      <c r="G157" s="23" t="str">
        <f>VLOOKUP(PhasesTable[[#This Row],[CIP '#]],ProjectsTable[[CIP '#]:[Project Classification 3]],8,FALSE)</f>
        <v>Wastewater</v>
      </c>
      <c r="H157" s="24" t="str">
        <f>VLOOKUP(PhasesTable[[#This Row],[CIP '#]],ProjectsTable[[CIP '#]:[Project Classification 3]],9,FALSE)</f>
        <v>Field Services</v>
      </c>
      <c r="I157" s="32" t="str">
        <f>VLOOKUP(PhasesTable[[#This Row],[CIP '#]],ProjectsTable[[CIP '#]:[Project Classification 3]],10,FALSE)</f>
        <v>Interceptors</v>
      </c>
      <c r="J157" s="32" t="s">
        <v>206</v>
      </c>
      <c r="K157" s="34" t="s">
        <v>27</v>
      </c>
      <c r="L157" s="32" t="s">
        <v>200</v>
      </c>
      <c r="M157" s="35" t="s">
        <v>27</v>
      </c>
      <c r="N157" s="35" t="s">
        <v>27</v>
      </c>
      <c r="O157" s="123">
        <v>0</v>
      </c>
      <c r="P157" s="123">
        <v>0</v>
      </c>
      <c r="Q157" s="124">
        <v>550</v>
      </c>
      <c r="R157" s="125">
        <v>530</v>
      </c>
      <c r="S157" s="125">
        <v>150</v>
      </c>
      <c r="T157" s="125">
        <v>0</v>
      </c>
      <c r="U157" s="126">
        <v>0</v>
      </c>
      <c r="V157" s="123">
        <v>0</v>
      </c>
      <c r="W157" s="127">
        <f>SUM(Q157:U157)</f>
        <v>1230</v>
      </c>
      <c r="X157" s="128">
        <f>SUM(O157:V157)</f>
        <v>1230</v>
      </c>
      <c r="Y157" s="26" t="s">
        <v>338</v>
      </c>
      <c r="Z157" s="36" t="s">
        <v>286</v>
      </c>
      <c r="AA157" s="28" t="s">
        <v>342</v>
      </c>
    </row>
    <row r="158" spans="1:28" s="18" customFormat="1" ht="30" customHeight="1" x14ac:dyDescent="0.45">
      <c r="A158" s="29">
        <v>246</v>
      </c>
      <c r="B158" s="30">
        <v>1332</v>
      </c>
      <c r="C158" s="31" t="s">
        <v>161</v>
      </c>
      <c r="D158" s="30">
        <f>VLOOKUP(PhasesTable[[#This Row],[CIP '#]],ProjectsTable[[CIP '#]:[Project Classification 3]],5,FALSE)</f>
        <v>222</v>
      </c>
      <c r="E158" s="30">
        <f>VLOOKUP(PhasesTable[[#This Row],[CIP '#]],ProjectsTable[[CIP '#]:[Project Classification 3]],6,FALSE)</f>
        <v>222003</v>
      </c>
      <c r="F158" s="32" t="s">
        <v>119</v>
      </c>
      <c r="G158" s="63" t="str">
        <f>VLOOKUP(PhasesTable[[#This Row],[CIP '#]],ProjectsTable[[CIP '#]:[Project Classification 3]],8,FALSE)</f>
        <v>Wastewater</v>
      </c>
      <c r="H158" s="65" t="str">
        <f>VLOOKUP(PhasesTable[[#This Row],[CIP '#]],ProjectsTable[[CIP '#]:[Project Classification 3]],9,FALSE)</f>
        <v>Field Services</v>
      </c>
      <c r="I158" s="63" t="str">
        <f>VLOOKUP(PhasesTable[[#This Row],[CIP '#]],ProjectsTable[[CIP '#]:[Project Classification 3]],10,FALSE)</f>
        <v>Interceptors</v>
      </c>
      <c r="J158" s="32" t="s">
        <v>204</v>
      </c>
      <c r="K158" s="34" t="s">
        <v>27</v>
      </c>
      <c r="L158" s="32" t="s">
        <v>200</v>
      </c>
      <c r="M158" s="35" t="s">
        <v>27</v>
      </c>
      <c r="N158" s="35" t="s">
        <v>27</v>
      </c>
      <c r="O158" s="123">
        <v>0</v>
      </c>
      <c r="P158" s="123">
        <v>0</v>
      </c>
      <c r="Q158" s="124">
        <v>330</v>
      </c>
      <c r="R158" s="125">
        <v>340</v>
      </c>
      <c r="S158" s="125">
        <v>90</v>
      </c>
      <c r="T158" s="125">
        <v>0</v>
      </c>
      <c r="U158" s="126">
        <v>0</v>
      </c>
      <c r="V158" s="123">
        <v>0</v>
      </c>
      <c r="W158" s="127">
        <f>SUM(Q158:U158)</f>
        <v>760</v>
      </c>
      <c r="X158" s="128">
        <f>SUM(O158:V158)</f>
        <v>760</v>
      </c>
      <c r="Y158" s="26" t="s">
        <v>338</v>
      </c>
      <c r="Z158" s="60" t="s">
        <v>287</v>
      </c>
      <c r="AA158" s="28" t="s">
        <v>342</v>
      </c>
    </row>
    <row r="159" spans="1:28" s="19" customFormat="1" ht="30" customHeight="1" x14ac:dyDescent="0.45">
      <c r="A159" s="9">
        <v>70</v>
      </c>
      <c r="B159" s="10">
        <v>1334</v>
      </c>
      <c r="C159" s="11" t="s">
        <v>109</v>
      </c>
      <c r="D159" s="9">
        <f>VLOOKUP(PhasesTable[[#This Row],[CIP '#]],ProjectsTable[[CIP '#]:[Project Classification 3]],5,FALSE)</f>
        <v>132</v>
      </c>
      <c r="E159" s="9">
        <f>VLOOKUP(PhasesTable[[#This Row],[CIP '#]],ProjectsTable[[CIP '#]:[Project Classification 3]],6,FALSE)</f>
        <v>132009</v>
      </c>
      <c r="F159" s="12" t="s">
        <v>24</v>
      </c>
      <c r="G159" s="13" t="str">
        <f>VLOOKUP(PhasesTable[[#This Row],[CIP '#]],ProjectsTable[[CIP '#]:[Project Classification 3]],8,FALSE)</f>
        <v>Water</v>
      </c>
      <c r="H159" s="12" t="str">
        <f>VLOOKUP(PhasesTable[[#This Row],[CIP '#]],ProjectsTable[[CIP '#]:[Project Classification 3]],9,FALSE)</f>
        <v>SCC</v>
      </c>
      <c r="I159" s="13" t="str">
        <f>VLOOKUP(PhasesTable[[#This Row],[CIP '#]],ProjectsTable[[CIP '#]:[Project Classification 3]],10,FALSE)</f>
        <v>Pump Station/Reservoir</v>
      </c>
      <c r="J159" s="13" t="s">
        <v>204</v>
      </c>
      <c r="K159" s="12" t="s">
        <v>27</v>
      </c>
      <c r="L159" s="13" t="s">
        <v>200</v>
      </c>
      <c r="M159" s="14" t="s">
        <v>27</v>
      </c>
      <c r="N159" s="14" t="s">
        <v>27</v>
      </c>
      <c r="O159" s="110">
        <v>0</v>
      </c>
      <c r="P159" s="111">
        <v>400</v>
      </c>
      <c r="Q159" s="112">
        <v>100</v>
      </c>
      <c r="R159" s="113">
        <v>0</v>
      </c>
      <c r="S159" s="113">
        <v>0</v>
      </c>
      <c r="T159" s="113">
        <v>0</v>
      </c>
      <c r="U159" s="114">
        <v>0</v>
      </c>
      <c r="V159" s="111">
        <v>0</v>
      </c>
      <c r="W159" s="115">
        <f>SUM(Q159:U159)</f>
        <v>100</v>
      </c>
      <c r="X159" s="116">
        <f>SUM(O159:V159)</f>
        <v>500</v>
      </c>
      <c r="Y159" s="15" t="s">
        <v>338</v>
      </c>
      <c r="Z159" s="47" t="s">
        <v>287</v>
      </c>
      <c r="AA159" s="17" t="s">
        <v>335</v>
      </c>
      <c r="AB159" s="48"/>
    </row>
    <row r="160" spans="1:28" s="19" customFormat="1" ht="30" customHeight="1" x14ac:dyDescent="0.45">
      <c r="A160" s="9">
        <v>71</v>
      </c>
      <c r="B160" s="10">
        <v>1336</v>
      </c>
      <c r="C160" s="11" t="s">
        <v>110</v>
      </c>
      <c r="D160" s="9">
        <f>VLOOKUP(PhasesTable[[#This Row],[CIP '#]],ProjectsTable[[CIP '#]:[Project Classification 3]],5,FALSE)</f>
        <v>132</v>
      </c>
      <c r="E160" s="9">
        <f>VLOOKUP(PhasesTable[[#This Row],[CIP '#]],ProjectsTable[[CIP '#]:[Project Classification 3]],6,FALSE)</f>
        <v>132010</v>
      </c>
      <c r="F160" s="12" t="s">
        <v>24</v>
      </c>
      <c r="G160" s="13" t="str">
        <f>VLOOKUP(PhasesTable[[#This Row],[CIP '#]],ProjectsTable[[CIP '#]:[Project Classification 3]],8,FALSE)</f>
        <v>Water</v>
      </c>
      <c r="H160" s="12" t="str">
        <f>VLOOKUP(PhasesTable[[#This Row],[CIP '#]],ProjectsTable[[CIP '#]:[Project Classification 3]],9,FALSE)</f>
        <v>SCC</v>
      </c>
      <c r="I160" s="12" t="str">
        <f>VLOOKUP(PhasesTable[[#This Row],[CIP '#]],ProjectsTable[[CIP '#]:[Project Classification 3]],10,FALSE)</f>
        <v>Pump Station/Reservoir</v>
      </c>
      <c r="J160" s="13" t="s">
        <v>208</v>
      </c>
      <c r="K160" s="12" t="s">
        <v>27</v>
      </c>
      <c r="L160" s="13" t="s">
        <v>200</v>
      </c>
      <c r="M160" s="14" t="s">
        <v>27</v>
      </c>
      <c r="N160" s="14" t="s">
        <v>27</v>
      </c>
      <c r="O160" s="110">
        <v>0</v>
      </c>
      <c r="P160" s="111">
        <v>0</v>
      </c>
      <c r="Q160" s="112">
        <v>4200</v>
      </c>
      <c r="R160" s="113">
        <v>7600</v>
      </c>
      <c r="S160" s="113">
        <v>0</v>
      </c>
      <c r="T160" s="113">
        <v>0</v>
      </c>
      <c r="U160" s="114">
        <v>0</v>
      </c>
      <c r="V160" s="111">
        <v>0</v>
      </c>
      <c r="W160" s="115">
        <f>SUM(Q160:U160)</f>
        <v>11800</v>
      </c>
      <c r="X160" s="116">
        <f>SUM(O160:V160)</f>
        <v>11800</v>
      </c>
      <c r="Y160" s="15" t="s">
        <v>338</v>
      </c>
      <c r="Z160" s="47" t="s">
        <v>288</v>
      </c>
      <c r="AA160" s="17" t="s">
        <v>335</v>
      </c>
      <c r="AB160" s="50"/>
    </row>
    <row r="161" spans="1:28" s="19" customFormat="1" ht="30" customHeight="1" x14ac:dyDescent="0.45">
      <c r="A161" s="9">
        <v>80</v>
      </c>
      <c r="B161" s="10">
        <v>1343</v>
      </c>
      <c r="C161" s="11" t="s">
        <v>180</v>
      </c>
      <c r="D161" s="9">
        <f>VLOOKUP(PhasesTable[[#This Row],[CIP '#]],ProjectsTable[[CIP '#]:[Project Classification 3]],5,FALSE)</f>
        <v>3810</v>
      </c>
      <c r="E161" s="9">
        <f>VLOOKUP(PhasesTable[[#This Row],[CIP '#]],ProjectsTable[[CIP '#]:[Project Classification 3]],6,FALSE)</f>
        <v>381000</v>
      </c>
      <c r="F161" s="12" t="s">
        <v>24</v>
      </c>
      <c r="G161" s="13" t="str">
        <f>VLOOKUP(PhasesTable[[#This Row],[CIP '#]],ProjectsTable[[CIP '#]:[Project Classification 3]],8,FALSE)</f>
        <v>Centralized Services</v>
      </c>
      <c r="H161" s="12" t="str">
        <f>VLOOKUP(PhasesTable[[#This Row],[CIP '#]],ProjectsTable[[CIP '#]:[Project Classification 3]],9,FALSE)</f>
        <v>Programs</v>
      </c>
      <c r="I161" s="12" t="str">
        <f>VLOOKUP(PhasesTable[[#This Row],[CIP '#]],ProjectsTable[[CIP '#]:[Project Classification 3]],10,FALSE)</f>
        <v>Programs</v>
      </c>
      <c r="J161" s="13" t="s">
        <v>208</v>
      </c>
      <c r="K161" s="12" t="s">
        <v>27</v>
      </c>
      <c r="L161" s="13" t="s">
        <v>200</v>
      </c>
      <c r="M161" s="14" t="s">
        <v>27</v>
      </c>
      <c r="N161" s="14" t="s">
        <v>27</v>
      </c>
      <c r="O161" s="110">
        <v>0</v>
      </c>
      <c r="P161" s="111">
        <v>500</v>
      </c>
      <c r="Q161" s="112">
        <v>500</v>
      </c>
      <c r="R161" s="113">
        <v>500</v>
      </c>
      <c r="S161" s="113">
        <v>500</v>
      </c>
      <c r="T161" s="113">
        <v>500</v>
      </c>
      <c r="U161" s="114">
        <v>500</v>
      </c>
      <c r="V161" s="111">
        <v>0</v>
      </c>
      <c r="W161" s="115">
        <f>SUM(Q161:U161)</f>
        <v>2500</v>
      </c>
      <c r="X161" s="116">
        <f>SUM(O161:V161)</f>
        <v>3000</v>
      </c>
      <c r="Y161" s="15" t="s">
        <v>339</v>
      </c>
      <c r="Z161" s="47" t="s">
        <v>288</v>
      </c>
      <c r="AA161" s="17" t="s">
        <v>335</v>
      </c>
      <c r="AB161" s="50"/>
    </row>
    <row r="162" spans="1:28" s="18" customFormat="1" ht="30" customHeight="1" x14ac:dyDescent="0.45">
      <c r="A162" s="20">
        <v>191</v>
      </c>
      <c r="B162" s="21">
        <v>1343</v>
      </c>
      <c r="C162" s="22" t="s">
        <v>180</v>
      </c>
      <c r="D162" s="20">
        <f>VLOOKUP(PhasesTable[[#This Row],[CIP '#]],ProjectsTable[[CIP '#]:[Project Classification 3]],5,FALSE)</f>
        <v>3810</v>
      </c>
      <c r="E162" s="20">
        <f>VLOOKUP(PhasesTable[[#This Row],[CIP '#]],ProjectsTable[[CIP '#]:[Project Classification 3]],6,FALSE)</f>
        <v>381000</v>
      </c>
      <c r="F162" s="24" t="s">
        <v>119</v>
      </c>
      <c r="G162" s="23" t="str">
        <f>VLOOKUP(PhasesTable[[#This Row],[CIP '#]],ProjectsTable[[CIP '#]:[Project Classification 3]],8,FALSE)</f>
        <v>Centralized Services</v>
      </c>
      <c r="H162" s="24" t="str">
        <f>VLOOKUP(PhasesTable[[#This Row],[CIP '#]],ProjectsTable[[CIP '#]:[Project Classification 3]],9,FALSE)</f>
        <v>Programs</v>
      </c>
      <c r="I162" s="24" t="str">
        <f>VLOOKUP(PhasesTable[[#This Row],[CIP '#]],ProjectsTable[[CIP '#]:[Project Classification 3]],10,FALSE)</f>
        <v>Programs</v>
      </c>
      <c r="J162" s="23" t="s">
        <v>208</v>
      </c>
      <c r="K162" s="24" t="s">
        <v>27</v>
      </c>
      <c r="L162" s="23" t="s">
        <v>200</v>
      </c>
      <c r="M162" s="45" t="s">
        <v>27</v>
      </c>
      <c r="N162" s="45" t="s">
        <v>27</v>
      </c>
      <c r="O162" s="136">
        <v>0</v>
      </c>
      <c r="P162" s="117">
        <v>500</v>
      </c>
      <c r="Q162" s="118">
        <v>500</v>
      </c>
      <c r="R162" s="119">
        <v>500</v>
      </c>
      <c r="S162" s="119">
        <v>500</v>
      </c>
      <c r="T162" s="119">
        <v>500</v>
      </c>
      <c r="U162" s="120">
        <v>500</v>
      </c>
      <c r="V162" s="117">
        <v>0</v>
      </c>
      <c r="W162" s="121">
        <f>SUM(Q162:U162)</f>
        <v>2500</v>
      </c>
      <c r="X162" s="122">
        <f>SUM(O162:V162)</f>
        <v>3000</v>
      </c>
      <c r="Y162" s="26" t="s">
        <v>339</v>
      </c>
      <c r="Z162" s="36" t="s">
        <v>288</v>
      </c>
      <c r="AA162" s="28" t="s">
        <v>335</v>
      </c>
    </row>
    <row r="163" spans="1:28" s="18" customFormat="1" ht="30" customHeight="1" x14ac:dyDescent="0.45">
      <c r="A163" s="20">
        <v>181</v>
      </c>
      <c r="B163" s="21">
        <v>1344</v>
      </c>
      <c r="C163" s="22" t="s">
        <v>172</v>
      </c>
      <c r="D163" s="20">
        <f>VLOOKUP(PhasesTable[[#This Row],[CIP '#]],ProjectsTable[[CIP '#]:[Project Classification 3]],5,FALSE)</f>
        <v>2604</v>
      </c>
      <c r="E163" s="20">
        <f>VLOOKUP(PhasesTable[[#This Row],[CIP '#]],ProjectsTable[[CIP '#]:[Project Classification 3]],6,FALSE)</f>
        <v>260400</v>
      </c>
      <c r="F163" s="23" t="s">
        <v>119</v>
      </c>
      <c r="G163" s="23" t="str">
        <f>VLOOKUP(PhasesTable[[#This Row],[CIP '#]],ProjectsTable[[CIP '#]:[Project Classification 3]],8,FALSE)</f>
        <v>Wastewater</v>
      </c>
      <c r="H163" s="24" t="str">
        <f>VLOOKUP(PhasesTable[[#This Row],[CIP '#]],ProjectsTable[[CIP '#]:[Project Classification 3]],9,FALSE)</f>
        <v>Programs</v>
      </c>
      <c r="I163" s="24" t="str">
        <f>VLOOKUP(PhasesTable[[#This Row],[CIP '#]],ProjectsTable[[CIP '#]:[Project Classification 3]],10,FALSE)</f>
        <v>Programs</v>
      </c>
      <c r="J163" s="23" t="s">
        <v>208</v>
      </c>
      <c r="K163" s="55" t="s">
        <v>27</v>
      </c>
      <c r="L163" s="23" t="s">
        <v>200</v>
      </c>
      <c r="M163" s="25" t="s">
        <v>27</v>
      </c>
      <c r="N163" s="25" t="s">
        <v>27</v>
      </c>
      <c r="O163" s="117">
        <v>0</v>
      </c>
      <c r="P163" s="117">
        <v>500</v>
      </c>
      <c r="Q163" s="118">
        <v>500</v>
      </c>
      <c r="R163" s="119">
        <v>500</v>
      </c>
      <c r="S163" s="119">
        <v>500</v>
      </c>
      <c r="T163" s="119">
        <v>500</v>
      </c>
      <c r="U163" s="120">
        <v>500</v>
      </c>
      <c r="V163" s="117">
        <v>0</v>
      </c>
      <c r="W163" s="121">
        <f>SUM(Q163:U163)</f>
        <v>2500</v>
      </c>
      <c r="X163" s="122">
        <f>SUM(O163:V163)</f>
        <v>3000</v>
      </c>
      <c r="Y163" s="26" t="s">
        <v>338</v>
      </c>
      <c r="Z163" s="36" t="s">
        <v>288</v>
      </c>
      <c r="AA163" s="28" t="s">
        <v>335</v>
      </c>
    </row>
    <row r="164" spans="1:28" s="44" customFormat="1" ht="30" customHeight="1" x14ac:dyDescent="0.45">
      <c r="A164" s="9">
        <v>242</v>
      </c>
      <c r="B164" s="10">
        <v>1347</v>
      </c>
      <c r="C164" s="11" t="s">
        <v>111</v>
      </c>
      <c r="D164" s="9">
        <f>VLOOKUP(PhasesTable[[#This Row],[CIP '#]],ProjectsTable[[CIP '#]:[Project Classification 3]],5,FALSE)</f>
        <v>132</v>
      </c>
      <c r="E164" s="9">
        <f>VLOOKUP(PhasesTable[[#This Row],[CIP '#]],ProjectsTable[[CIP '#]:[Project Classification 3]],6,FALSE)</f>
        <v>132011</v>
      </c>
      <c r="F164" s="12" t="s">
        <v>24</v>
      </c>
      <c r="G164" s="13" t="str">
        <f>VLOOKUP(PhasesTable[[#This Row],[CIP '#]],ProjectsTable[[CIP '#]:[Project Classification 3]],8,FALSE)</f>
        <v>Water</v>
      </c>
      <c r="H164" s="12" t="str">
        <f>VLOOKUP(PhasesTable[[#This Row],[CIP '#]],ProjectsTable[[CIP '#]:[Project Classification 3]],9,FALSE)</f>
        <v>SCC</v>
      </c>
      <c r="I164" s="13" t="str">
        <f>VLOOKUP(PhasesTable[[#This Row],[CIP '#]],ProjectsTable[[CIP '#]:[Project Classification 3]],10,FALSE)</f>
        <v>Pump Station/Reservoir</v>
      </c>
      <c r="J164" s="13" t="s">
        <v>201</v>
      </c>
      <c r="K164" s="12" t="s">
        <v>27</v>
      </c>
      <c r="L164" s="13" t="s">
        <v>200</v>
      </c>
      <c r="M164" s="14" t="s">
        <v>27</v>
      </c>
      <c r="N164" s="14" t="s">
        <v>27</v>
      </c>
      <c r="O164" s="110">
        <v>0</v>
      </c>
      <c r="P164" s="111">
        <v>0</v>
      </c>
      <c r="Q164" s="112">
        <v>1484</v>
      </c>
      <c r="R164" s="113">
        <v>1484</v>
      </c>
      <c r="S164" s="113">
        <v>0</v>
      </c>
      <c r="T164" s="113">
        <v>0</v>
      </c>
      <c r="U164" s="114">
        <v>0</v>
      </c>
      <c r="V164" s="111">
        <v>0</v>
      </c>
      <c r="W164" s="115">
        <f>SUM(Q164:U164)</f>
        <v>2968</v>
      </c>
      <c r="X164" s="116">
        <f>SUM(O164:V164)</f>
        <v>2968</v>
      </c>
      <c r="Y164" s="15" t="s">
        <v>338</v>
      </c>
      <c r="Z164" s="47" t="s">
        <v>288</v>
      </c>
      <c r="AA164" s="17" t="s">
        <v>335</v>
      </c>
      <c r="AB164" s="67"/>
    </row>
    <row r="165" spans="1:28" s="44" customFormat="1" ht="30" customHeight="1" x14ac:dyDescent="0.45">
      <c r="A165" s="9">
        <v>241</v>
      </c>
      <c r="B165" s="10">
        <v>1347</v>
      </c>
      <c r="C165" s="11" t="s">
        <v>111</v>
      </c>
      <c r="D165" s="9">
        <f>VLOOKUP(PhasesTable[[#This Row],[CIP '#]],ProjectsTable[[CIP '#]:[Project Classification 3]],5,FALSE)</f>
        <v>132</v>
      </c>
      <c r="E165" s="9">
        <f>VLOOKUP(PhasesTable[[#This Row],[CIP '#]],ProjectsTable[[CIP '#]:[Project Classification 3]],6,FALSE)</f>
        <v>132011</v>
      </c>
      <c r="F165" s="12" t="s">
        <v>24</v>
      </c>
      <c r="G165" s="13" t="str">
        <f>VLOOKUP(PhasesTable[[#This Row],[CIP '#]],ProjectsTable[[CIP '#]:[Project Classification 3]],8,FALSE)</f>
        <v>Water</v>
      </c>
      <c r="H165" s="12" t="str">
        <f>VLOOKUP(PhasesTable[[#This Row],[CIP '#]],ProjectsTable[[CIP '#]:[Project Classification 3]],9,FALSE)</f>
        <v>SCC</v>
      </c>
      <c r="I165" s="13" t="str">
        <f>VLOOKUP(PhasesTable[[#This Row],[CIP '#]],ProjectsTable[[CIP '#]:[Project Classification 3]],10,FALSE)</f>
        <v>Pump Station/Reservoir</v>
      </c>
      <c r="J165" s="13" t="s">
        <v>206</v>
      </c>
      <c r="K165" s="12" t="s">
        <v>27</v>
      </c>
      <c r="L165" s="13" t="s">
        <v>200</v>
      </c>
      <c r="M165" s="14" t="s">
        <v>27</v>
      </c>
      <c r="N165" s="14" t="s">
        <v>27</v>
      </c>
      <c r="O165" s="110">
        <v>0</v>
      </c>
      <c r="P165" s="111">
        <v>0</v>
      </c>
      <c r="Q165" s="112">
        <v>133</v>
      </c>
      <c r="R165" s="113">
        <v>133</v>
      </c>
      <c r="S165" s="113">
        <v>0</v>
      </c>
      <c r="T165" s="113">
        <v>0</v>
      </c>
      <c r="U165" s="114">
        <v>0</v>
      </c>
      <c r="V165" s="111">
        <v>0</v>
      </c>
      <c r="W165" s="115">
        <f>SUM(Q165:U165)</f>
        <v>266</v>
      </c>
      <c r="X165" s="116">
        <f>SUM(O165:V165)</f>
        <v>266</v>
      </c>
      <c r="Y165" s="15" t="s">
        <v>338</v>
      </c>
      <c r="Z165" s="47" t="s">
        <v>288</v>
      </c>
      <c r="AA165" s="17" t="s">
        <v>335</v>
      </c>
      <c r="AB165" s="67"/>
    </row>
    <row r="166" spans="1:28" s="19" customFormat="1" ht="30" customHeight="1" x14ac:dyDescent="0.45">
      <c r="A166" s="9">
        <v>72</v>
      </c>
      <c r="B166" s="10">
        <v>1347</v>
      </c>
      <c r="C166" s="11" t="s">
        <v>111</v>
      </c>
      <c r="D166" s="9">
        <f>VLOOKUP(PhasesTable[[#This Row],[CIP '#]],ProjectsTable[[CIP '#]:[Project Classification 3]],5,FALSE)</f>
        <v>132</v>
      </c>
      <c r="E166" s="9">
        <f>VLOOKUP(PhasesTable[[#This Row],[CIP '#]],ProjectsTable[[CIP '#]:[Project Classification 3]],6,FALSE)</f>
        <v>132011</v>
      </c>
      <c r="F166" s="12" t="s">
        <v>24</v>
      </c>
      <c r="G166" s="13" t="str">
        <f>VLOOKUP(PhasesTable[[#This Row],[CIP '#]],ProjectsTable[[CIP '#]:[Project Classification 3]],8,FALSE)</f>
        <v>Water</v>
      </c>
      <c r="H166" s="12" t="str">
        <f>VLOOKUP(PhasesTable[[#This Row],[CIP '#]],ProjectsTable[[CIP '#]:[Project Classification 3]],9,FALSE)</f>
        <v>SCC</v>
      </c>
      <c r="I166" s="13" t="str">
        <f>VLOOKUP(PhasesTable[[#This Row],[CIP '#]],ProjectsTable[[CIP '#]:[Project Classification 3]],10,FALSE)</f>
        <v>Pump Station/Reservoir</v>
      </c>
      <c r="J166" s="13" t="s">
        <v>204</v>
      </c>
      <c r="K166" s="12" t="s">
        <v>27</v>
      </c>
      <c r="L166" s="13" t="s">
        <v>200</v>
      </c>
      <c r="M166" s="14" t="s">
        <v>27</v>
      </c>
      <c r="N166" s="14" t="s">
        <v>27</v>
      </c>
      <c r="O166" s="110">
        <v>0</v>
      </c>
      <c r="P166" s="111">
        <v>0</v>
      </c>
      <c r="Q166" s="112">
        <v>50</v>
      </c>
      <c r="R166" s="113">
        <v>50</v>
      </c>
      <c r="S166" s="113">
        <v>0</v>
      </c>
      <c r="T166" s="113">
        <v>0</v>
      </c>
      <c r="U166" s="114">
        <v>0</v>
      </c>
      <c r="V166" s="111">
        <v>0</v>
      </c>
      <c r="W166" s="115">
        <f>SUM(Q166:U166)</f>
        <v>100</v>
      </c>
      <c r="X166" s="116">
        <f>SUM(O166:V166)</f>
        <v>100</v>
      </c>
      <c r="Y166" s="15" t="s">
        <v>338</v>
      </c>
      <c r="Z166" s="47" t="s">
        <v>287</v>
      </c>
      <c r="AA166" s="17" t="s">
        <v>335</v>
      </c>
      <c r="AB166" s="48"/>
    </row>
    <row r="167" spans="1:28" s="19" customFormat="1" ht="30" customHeight="1" x14ac:dyDescent="0.45">
      <c r="A167" s="9">
        <v>52</v>
      </c>
      <c r="B167" s="10">
        <v>1350</v>
      </c>
      <c r="C167" s="11" t="s">
        <v>86</v>
      </c>
      <c r="D167" s="9">
        <f>VLOOKUP(PhasesTable[[#This Row],[CIP '#]],ProjectsTable[[CIP '#]:[Project Classification 3]],5,FALSE)</f>
        <v>122</v>
      </c>
      <c r="E167" s="9">
        <f>VLOOKUP(PhasesTable[[#This Row],[CIP '#]],ProjectsTable[[CIP '#]:[Project Classification 3]],6,FALSE)</f>
        <v>122009</v>
      </c>
      <c r="F167" s="12" t="s">
        <v>24</v>
      </c>
      <c r="G167" s="13" t="str">
        <f>VLOOKUP(PhasesTable[[#This Row],[CIP '#]],ProjectsTable[[CIP '#]:[Project Classification 3]],8,FALSE)</f>
        <v>Water</v>
      </c>
      <c r="H167" s="12" t="str">
        <f>VLOOKUP(PhasesTable[[#This Row],[CIP '#]],ProjectsTable[[CIP '#]:[Project Classification 3]],9,FALSE)</f>
        <v>Field Services</v>
      </c>
      <c r="I167" s="13" t="str">
        <f>VLOOKUP(PhasesTable[[#This Row],[CIP '#]],ProjectsTable[[CIP '#]:[Project Classification 3]],10,FALSE)</f>
        <v>Transmission System</v>
      </c>
      <c r="J167" s="13" t="s">
        <v>201</v>
      </c>
      <c r="K167" s="12" t="s">
        <v>229</v>
      </c>
      <c r="L167" s="13" t="s">
        <v>200</v>
      </c>
      <c r="M167" s="14">
        <v>41862</v>
      </c>
      <c r="N167" s="14">
        <v>42592</v>
      </c>
      <c r="O167" s="110">
        <v>8323.249838400001</v>
      </c>
      <c r="P167" s="111">
        <v>100</v>
      </c>
      <c r="Q167" s="112">
        <v>0</v>
      </c>
      <c r="R167" s="113">
        <v>0</v>
      </c>
      <c r="S167" s="113">
        <v>0</v>
      </c>
      <c r="T167" s="113">
        <v>0</v>
      </c>
      <c r="U167" s="114">
        <v>0</v>
      </c>
      <c r="V167" s="111">
        <v>0</v>
      </c>
      <c r="W167" s="115">
        <f>SUM(Q167:U167)</f>
        <v>0</v>
      </c>
      <c r="X167" s="116">
        <f>SUM(O167:V167)</f>
        <v>8423.249838400001</v>
      </c>
      <c r="Y167" s="15" t="s">
        <v>338</v>
      </c>
      <c r="Z167" s="47" t="s">
        <v>286</v>
      </c>
      <c r="AA167" s="17" t="s">
        <v>335</v>
      </c>
      <c r="AB167" s="48"/>
    </row>
    <row r="168" spans="1:28" s="56" customFormat="1" ht="30" customHeight="1" x14ac:dyDescent="0.45">
      <c r="A168" s="9">
        <v>53</v>
      </c>
      <c r="B168" s="10">
        <v>1351</v>
      </c>
      <c r="C168" s="11" t="s">
        <v>283</v>
      </c>
      <c r="D168" s="9">
        <f>VLOOKUP(PhasesTable[[#This Row],[CIP '#]],ProjectsTable[[CIP '#]:[Project Classification 3]],5,FALSE)</f>
        <v>122</v>
      </c>
      <c r="E168" s="9">
        <f>VLOOKUP(PhasesTable[[#This Row],[CIP '#]],ProjectsTable[[CIP '#]:[Project Classification 3]],6,FALSE)</f>
        <v>122010</v>
      </c>
      <c r="F168" s="12" t="s">
        <v>24</v>
      </c>
      <c r="G168" s="13" t="str">
        <f>VLOOKUP(PhasesTable[[#This Row],[CIP '#]],ProjectsTable[[CIP '#]:[Project Classification 3]],8,FALSE)</f>
        <v>Water</v>
      </c>
      <c r="H168" s="12" t="str">
        <f>VLOOKUP(PhasesTable[[#This Row],[CIP '#]],ProjectsTable[[CIP '#]:[Project Classification 3]],9,FALSE)</f>
        <v>Field Services</v>
      </c>
      <c r="I168" s="13" t="str">
        <f>VLOOKUP(PhasesTable[[#This Row],[CIP '#]],ProjectsTable[[CIP '#]:[Project Classification 3]],10,FALSE)</f>
        <v>Transmission System</v>
      </c>
      <c r="J168" s="13" t="s">
        <v>201</v>
      </c>
      <c r="K168" s="12" t="s">
        <v>230</v>
      </c>
      <c r="L168" s="13" t="s">
        <v>200</v>
      </c>
      <c r="M168" s="14">
        <v>42619</v>
      </c>
      <c r="N168" s="14">
        <v>43409</v>
      </c>
      <c r="O168" s="110">
        <v>0</v>
      </c>
      <c r="P168" s="111">
        <v>1369.5</v>
      </c>
      <c r="Q168" s="112">
        <v>1106</v>
      </c>
      <c r="R168" s="113">
        <v>652</v>
      </c>
      <c r="S168" s="113">
        <v>0</v>
      </c>
      <c r="T168" s="113">
        <v>0</v>
      </c>
      <c r="U168" s="114">
        <v>0</v>
      </c>
      <c r="V168" s="111">
        <v>0</v>
      </c>
      <c r="W168" s="115">
        <f>SUM(Q168:U168)</f>
        <v>1758</v>
      </c>
      <c r="X168" s="116">
        <f>SUM(O168:V168)</f>
        <v>3127.5</v>
      </c>
      <c r="Y168" s="15" t="s">
        <v>338</v>
      </c>
      <c r="Z168" s="47" t="s">
        <v>290</v>
      </c>
      <c r="AA168" s="17" t="s">
        <v>335</v>
      </c>
      <c r="AB168" s="71"/>
    </row>
    <row r="169" spans="1:28" s="58" customFormat="1" ht="30" customHeight="1" x14ac:dyDescent="0.45">
      <c r="A169" s="37">
        <v>215</v>
      </c>
      <c r="B169" s="38">
        <v>1355</v>
      </c>
      <c r="C169" s="39" t="s">
        <v>333</v>
      </c>
      <c r="D169" s="38">
        <f>VLOOKUP(PhasesTable[[#This Row],[CIP '#]],ProjectsTable[[CIP '#]:[Project Classification 3]],5,FALSE)</f>
        <v>116</v>
      </c>
      <c r="E169" s="38">
        <f>VLOOKUP(PhasesTable[[#This Row],[CIP '#]],ProjectsTable[[CIP '#]:[Project Classification 3]],6,FALSE)</f>
        <v>116003</v>
      </c>
      <c r="F169" s="40" t="s">
        <v>24</v>
      </c>
      <c r="G169" s="52" t="str">
        <f>VLOOKUP(PhasesTable[[#This Row],[CIP '#]],ProjectsTable[[CIP '#]:[Project Classification 3]],8,FALSE)</f>
        <v>Water</v>
      </c>
      <c r="H169" s="53" t="str">
        <f>VLOOKUP(PhasesTable[[#This Row],[CIP '#]],ProjectsTable[[CIP '#]:[Project Classification 3]],9,FALSE)</f>
        <v>Treatment Plants &amp; Facilities</v>
      </c>
      <c r="I169" s="52" t="str">
        <f>VLOOKUP(PhasesTable[[#This Row],[CIP '#]],ProjectsTable[[CIP '#]:[Project Classification 3]],10,FALSE)</f>
        <v>General Purpose</v>
      </c>
      <c r="J169" s="41" t="s">
        <v>206</v>
      </c>
      <c r="K169" s="40" t="s">
        <v>27</v>
      </c>
      <c r="L169" s="13" t="s">
        <v>200</v>
      </c>
      <c r="M169" s="42" t="s">
        <v>27</v>
      </c>
      <c r="N169" s="42" t="s">
        <v>27</v>
      </c>
      <c r="O169" s="137">
        <v>0</v>
      </c>
      <c r="P169" s="130">
        <v>0</v>
      </c>
      <c r="Q169" s="131">
        <v>400</v>
      </c>
      <c r="R169" s="132">
        <v>200</v>
      </c>
      <c r="S169" s="132">
        <v>200</v>
      </c>
      <c r="T169" s="132">
        <v>0</v>
      </c>
      <c r="U169" s="133">
        <v>0</v>
      </c>
      <c r="V169" s="130">
        <v>0</v>
      </c>
      <c r="W169" s="134">
        <f>SUM(Q169:U169)</f>
        <v>800</v>
      </c>
      <c r="X169" s="135">
        <f>SUM(O169:V169)</f>
        <v>800</v>
      </c>
      <c r="Y169" s="15" t="s">
        <v>338</v>
      </c>
      <c r="Z169" s="54" t="s">
        <v>288</v>
      </c>
      <c r="AA169" s="17" t="s">
        <v>335</v>
      </c>
      <c r="AB169" s="57"/>
    </row>
    <row r="170" spans="1:28" s="44" customFormat="1" ht="30" customHeight="1" x14ac:dyDescent="0.45">
      <c r="A170" s="37">
        <v>39</v>
      </c>
      <c r="B170" s="38">
        <v>1355</v>
      </c>
      <c r="C170" s="39" t="s">
        <v>333</v>
      </c>
      <c r="D170" s="37">
        <f>VLOOKUP(PhasesTable[[#This Row],[CIP '#]],ProjectsTable[[CIP '#]:[Project Classification 3]],5,FALSE)</f>
        <v>116</v>
      </c>
      <c r="E170" s="37">
        <f>VLOOKUP(PhasesTable[[#This Row],[CIP '#]],ProjectsTable[[CIP '#]:[Project Classification 3]],6,FALSE)</f>
        <v>116003</v>
      </c>
      <c r="F170" s="40" t="s">
        <v>24</v>
      </c>
      <c r="G170" s="41" t="str">
        <f>VLOOKUP(PhasesTable[[#This Row],[CIP '#]],ProjectsTable[[CIP '#]:[Project Classification 3]],8,FALSE)</f>
        <v>Water</v>
      </c>
      <c r="H170" s="40" t="str">
        <f>VLOOKUP(PhasesTable[[#This Row],[CIP '#]],ProjectsTable[[CIP '#]:[Project Classification 3]],9,FALSE)</f>
        <v>Treatment Plants &amp; Facilities</v>
      </c>
      <c r="I170" s="41" t="str">
        <f>VLOOKUP(PhasesTable[[#This Row],[CIP '#]],ProjectsTable[[CIP '#]:[Project Classification 3]],10,FALSE)</f>
        <v>General Purpose</v>
      </c>
      <c r="J170" s="41" t="s">
        <v>201</v>
      </c>
      <c r="K170" s="40" t="s">
        <v>27</v>
      </c>
      <c r="L170" s="13" t="s">
        <v>200</v>
      </c>
      <c r="M170" s="42" t="s">
        <v>27</v>
      </c>
      <c r="N170" s="42" t="s">
        <v>27</v>
      </c>
      <c r="O170" s="129">
        <v>0</v>
      </c>
      <c r="P170" s="130">
        <v>0</v>
      </c>
      <c r="Q170" s="131">
        <v>0</v>
      </c>
      <c r="R170" s="132">
        <v>3000</v>
      </c>
      <c r="S170" s="132">
        <v>3000</v>
      </c>
      <c r="T170" s="132">
        <v>0</v>
      </c>
      <c r="U170" s="133">
        <v>0</v>
      </c>
      <c r="V170" s="130">
        <v>0</v>
      </c>
      <c r="W170" s="134">
        <f>SUM(Q170:U170)</f>
        <v>6000</v>
      </c>
      <c r="X170" s="135">
        <f>SUM(O170:V170)</f>
        <v>6000</v>
      </c>
      <c r="Y170" s="15" t="s">
        <v>338</v>
      </c>
      <c r="Z170" s="54" t="s">
        <v>288</v>
      </c>
      <c r="AA170" s="17" t="s">
        <v>335</v>
      </c>
      <c r="AB170" s="43"/>
    </row>
    <row r="171" spans="1:28" s="44" customFormat="1" ht="30" customHeight="1" x14ac:dyDescent="0.45">
      <c r="A171" s="9">
        <v>54</v>
      </c>
      <c r="B171" s="10">
        <v>1356</v>
      </c>
      <c r="C171" s="11" t="s">
        <v>88</v>
      </c>
      <c r="D171" s="9">
        <f>VLOOKUP(PhasesTable[[#This Row],[CIP '#]],ProjectsTable[[CIP '#]:[Project Classification 3]],5,FALSE)</f>
        <v>1705</v>
      </c>
      <c r="E171" s="9">
        <f>VLOOKUP(PhasesTable[[#This Row],[CIP '#]],ProjectsTable[[CIP '#]:[Project Classification 3]],6,FALSE)</f>
        <v>170500</v>
      </c>
      <c r="F171" s="12" t="s">
        <v>24</v>
      </c>
      <c r="G171" s="13" t="str">
        <f>VLOOKUP(PhasesTable[[#This Row],[CIP '#]],ProjectsTable[[CIP '#]:[Project Classification 3]],8,FALSE)</f>
        <v>Water</v>
      </c>
      <c r="H171" s="12" t="str">
        <f>VLOOKUP(PhasesTable[[#This Row],[CIP '#]],ProjectsTable[[CIP '#]:[Project Classification 3]],9,FALSE)</f>
        <v>Programs</v>
      </c>
      <c r="I171" s="12" t="str">
        <f>VLOOKUP(PhasesTable[[#This Row],[CIP '#]],ProjectsTable[[CIP '#]:[Project Classification 3]],10,FALSE)</f>
        <v>Programs</v>
      </c>
      <c r="J171" s="13" t="s">
        <v>225</v>
      </c>
      <c r="K171" s="12" t="s">
        <v>27</v>
      </c>
      <c r="L171" s="13" t="s">
        <v>226</v>
      </c>
      <c r="M171" s="14" t="s">
        <v>27</v>
      </c>
      <c r="N171" s="14" t="s">
        <v>27</v>
      </c>
      <c r="O171" s="110">
        <v>0</v>
      </c>
      <c r="P171" s="111">
        <v>0</v>
      </c>
      <c r="Q171" s="112">
        <f>180+140+2610</f>
        <v>2930</v>
      </c>
      <c r="R171" s="113">
        <f>100+3000</f>
        <v>3100</v>
      </c>
      <c r="S171" s="113">
        <f>100+3000</f>
        <v>3100</v>
      </c>
      <c r="T171" s="113">
        <f>100+3000</f>
        <v>3100</v>
      </c>
      <c r="U171" s="114">
        <f>100+3000</f>
        <v>3100</v>
      </c>
      <c r="V171" s="111">
        <v>0</v>
      </c>
      <c r="W171" s="115">
        <f>SUM(Q171:U171)</f>
        <v>15330</v>
      </c>
      <c r="X171" s="116">
        <f>SUM(O171:V171)</f>
        <v>15330</v>
      </c>
      <c r="Y171" s="15" t="s">
        <v>338</v>
      </c>
      <c r="Z171" s="47" t="s">
        <v>288</v>
      </c>
      <c r="AA171" s="17" t="s">
        <v>335</v>
      </c>
      <c r="AB171" s="68"/>
    </row>
    <row r="172" spans="1:28" s="18" customFormat="1" ht="30" customHeight="1" x14ac:dyDescent="0.45">
      <c r="A172" s="29">
        <v>172</v>
      </c>
      <c r="B172" s="30">
        <v>1357</v>
      </c>
      <c r="C172" s="31" t="s">
        <v>168</v>
      </c>
      <c r="D172" s="29">
        <f>VLOOKUP(PhasesTable[[#This Row],[CIP '#]],ProjectsTable[[CIP '#]:[Project Classification 3]],5,FALSE)</f>
        <v>233</v>
      </c>
      <c r="E172" s="29">
        <f>VLOOKUP(PhasesTable[[#This Row],[CIP '#]],ProjectsTable[[CIP '#]:[Project Classification 3]],6,FALSE)</f>
        <v>233001</v>
      </c>
      <c r="F172" s="32" t="s">
        <v>119</v>
      </c>
      <c r="G172" s="23" t="str">
        <f>VLOOKUP(PhasesTable[[#This Row],[CIP '#]],ProjectsTable[[CIP '#]:[Project Classification 3]],8,FALSE)</f>
        <v>Wastewater</v>
      </c>
      <c r="H172" s="24" t="str">
        <f>VLOOKUP(PhasesTable[[#This Row],[CIP '#]],ProjectsTable[[CIP '#]:[Project Classification 3]],9,FALSE)</f>
        <v>SCC</v>
      </c>
      <c r="I172" s="32" t="str">
        <f>VLOOKUP(PhasesTable[[#This Row],[CIP '#]],ProjectsTable[[CIP '#]:[Project Classification 3]],10,FALSE)</f>
        <v>In System Devices</v>
      </c>
      <c r="J172" s="32" t="s">
        <v>201</v>
      </c>
      <c r="K172" s="34" t="s">
        <v>27</v>
      </c>
      <c r="L172" s="32" t="s">
        <v>226</v>
      </c>
      <c r="M172" s="35" t="s">
        <v>27</v>
      </c>
      <c r="N172" s="35" t="s">
        <v>27</v>
      </c>
      <c r="O172" s="123">
        <v>0</v>
      </c>
      <c r="P172" s="123">
        <v>0</v>
      </c>
      <c r="Q172" s="124">
        <v>846</v>
      </c>
      <c r="R172" s="125">
        <v>3000</v>
      </c>
      <c r="S172" s="125">
        <v>3000</v>
      </c>
      <c r="T172" s="125">
        <v>2000</v>
      </c>
      <c r="U172" s="126">
        <v>0</v>
      </c>
      <c r="V172" s="123">
        <v>0</v>
      </c>
      <c r="W172" s="127">
        <f>SUM(Q172:U172)</f>
        <v>8846</v>
      </c>
      <c r="X172" s="128">
        <f>SUM(O172:V172)</f>
        <v>8846</v>
      </c>
      <c r="Y172" s="26" t="s">
        <v>338</v>
      </c>
      <c r="Z172" s="36" t="s">
        <v>288</v>
      </c>
      <c r="AA172" s="28" t="s">
        <v>335</v>
      </c>
    </row>
    <row r="173" spans="1:28" s="43" customFormat="1" ht="30" customHeight="1" x14ac:dyDescent="0.45">
      <c r="A173" s="29">
        <v>173</v>
      </c>
      <c r="B173" s="30">
        <v>1357</v>
      </c>
      <c r="C173" s="31" t="s">
        <v>168</v>
      </c>
      <c r="D173" s="29">
        <f>VLOOKUP(PhasesTable[[#This Row],[CIP '#]],ProjectsTable[[CIP '#]:[Project Classification 3]],5,FALSE)</f>
        <v>233</v>
      </c>
      <c r="E173" s="29">
        <f>VLOOKUP(PhasesTable[[#This Row],[CIP '#]],ProjectsTable[[CIP '#]:[Project Classification 3]],6,FALSE)</f>
        <v>233001</v>
      </c>
      <c r="F173" s="32" t="s">
        <v>119</v>
      </c>
      <c r="G173" s="23" t="str">
        <f>VLOOKUP(PhasesTable[[#This Row],[CIP '#]],ProjectsTable[[CIP '#]:[Project Classification 3]],8,FALSE)</f>
        <v>Wastewater</v>
      </c>
      <c r="H173" s="24" t="str">
        <f>VLOOKUP(PhasesTable[[#This Row],[CIP '#]],ProjectsTable[[CIP '#]:[Project Classification 3]],9,FALSE)</f>
        <v>SCC</v>
      </c>
      <c r="I173" s="32" t="str">
        <f>VLOOKUP(PhasesTable[[#This Row],[CIP '#]],ProjectsTable[[CIP '#]:[Project Classification 3]],10,FALSE)</f>
        <v>In System Devices</v>
      </c>
      <c r="J173" s="32" t="s">
        <v>206</v>
      </c>
      <c r="K173" s="34" t="s">
        <v>27</v>
      </c>
      <c r="L173" s="32" t="s">
        <v>226</v>
      </c>
      <c r="M173" s="35" t="s">
        <v>27</v>
      </c>
      <c r="N173" s="35" t="s">
        <v>27</v>
      </c>
      <c r="O173" s="123">
        <v>0</v>
      </c>
      <c r="P173" s="123">
        <v>0</v>
      </c>
      <c r="Q173" s="124">
        <v>375</v>
      </c>
      <c r="R173" s="125">
        <v>0</v>
      </c>
      <c r="S173" s="125">
        <v>0</v>
      </c>
      <c r="T173" s="125">
        <v>0</v>
      </c>
      <c r="U173" s="126">
        <v>0</v>
      </c>
      <c r="V173" s="123">
        <v>0</v>
      </c>
      <c r="W173" s="127">
        <f>SUM(Q173:U173)</f>
        <v>375</v>
      </c>
      <c r="X173" s="128">
        <f>SUM(O173:V173)</f>
        <v>375</v>
      </c>
      <c r="Y173" s="26" t="s">
        <v>338</v>
      </c>
      <c r="Z173" s="36" t="s">
        <v>288</v>
      </c>
      <c r="AA173" s="28" t="s">
        <v>335</v>
      </c>
    </row>
    <row r="174" spans="1:28" s="43" customFormat="1" ht="30" customHeight="1" x14ac:dyDescent="0.45">
      <c r="A174" s="29">
        <v>174</v>
      </c>
      <c r="B174" s="30">
        <v>1357</v>
      </c>
      <c r="C174" s="31" t="s">
        <v>168</v>
      </c>
      <c r="D174" s="29">
        <f>VLOOKUP(PhasesTable[[#This Row],[CIP '#]],ProjectsTable[[CIP '#]:[Project Classification 3]],5,FALSE)</f>
        <v>233</v>
      </c>
      <c r="E174" s="29">
        <f>VLOOKUP(PhasesTable[[#This Row],[CIP '#]],ProjectsTable[[CIP '#]:[Project Classification 3]],6,FALSE)</f>
        <v>233001</v>
      </c>
      <c r="F174" s="32" t="s">
        <v>119</v>
      </c>
      <c r="G174" s="23" t="str">
        <f>VLOOKUP(PhasesTable[[#This Row],[CIP '#]],ProjectsTable[[CIP '#]:[Project Classification 3]],8,FALSE)</f>
        <v>Wastewater</v>
      </c>
      <c r="H174" s="24" t="str">
        <f>VLOOKUP(PhasesTable[[#This Row],[CIP '#]],ProjectsTable[[CIP '#]:[Project Classification 3]],9,FALSE)</f>
        <v>SCC</v>
      </c>
      <c r="I174" s="32" t="str">
        <f>VLOOKUP(PhasesTable[[#This Row],[CIP '#]],ProjectsTable[[CIP '#]:[Project Classification 3]],10,FALSE)</f>
        <v>In System Devices</v>
      </c>
      <c r="J174" s="32" t="s">
        <v>204</v>
      </c>
      <c r="K174" s="34" t="s">
        <v>27</v>
      </c>
      <c r="L174" s="32" t="s">
        <v>226</v>
      </c>
      <c r="M174" s="35" t="s">
        <v>27</v>
      </c>
      <c r="N174" s="35" t="s">
        <v>27</v>
      </c>
      <c r="O174" s="123">
        <v>0</v>
      </c>
      <c r="P174" s="123">
        <v>0</v>
      </c>
      <c r="Q174" s="124">
        <v>80</v>
      </c>
      <c r="R174" s="125">
        <v>0</v>
      </c>
      <c r="S174" s="125">
        <v>0</v>
      </c>
      <c r="T174" s="125">
        <v>0</v>
      </c>
      <c r="U174" s="126">
        <v>0</v>
      </c>
      <c r="V174" s="123">
        <v>0</v>
      </c>
      <c r="W174" s="127">
        <f>SUM(Q174:U174)</f>
        <v>80</v>
      </c>
      <c r="X174" s="128">
        <f>SUM(O174:V174)</f>
        <v>80</v>
      </c>
      <c r="Y174" s="26" t="s">
        <v>338</v>
      </c>
      <c r="Z174" s="36" t="s">
        <v>287</v>
      </c>
      <c r="AA174" s="28" t="s">
        <v>335</v>
      </c>
    </row>
    <row r="175" spans="1:28" s="44" customFormat="1" ht="30" customHeight="1" x14ac:dyDescent="0.45">
      <c r="A175" s="9">
        <v>81</v>
      </c>
      <c r="B175" s="10">
        <v>1366</v>
      </c>
      <c r="C175" s="11" t="s">
        <v>183</v>
      </c>
      <c r="D175" s="9">
        <f>VLOOKUP(PhasesTable[[#This Row],[CIP '#]],ProjectsTable[[CIP '#]:[Project Classification 3]],5,FALSE)</f>
        <v>351</v>
      </c>
      <c r="E175" s="9">
        <f>VLOOKUP(PhasesTable[[#This Row],[CIP '#]],ProjectsTable[[CIP '#]:[Project Classification 3]],6,FALSE)</f>
        <v>351001</v>
      </c>
      <c r="F175" s="12" t="s">
        <v>24</v>
      </c>
      <c r="G175" s="13" t="str">
        <f>VLOOKUP(PhasesTable[[#This Row],[CIP '#]],ProjectsTable[[CIP '#]:[Project Classification 3]],8,FALSE)</f>
        <v>Centralized Services</v>
      </c>
      <c r="H175" s="12" t="str">
        <f>VLOOKUP(PhasesTable[[#This Row],[CIP '#]],ProjectsTable[[CIP '#]:[Project Classification 3]],9,FALSE)</f>
        <v>Energy Management</v>
      </c>
      <c r="I175" s="12" t="str">
        <f>VLOOKUP(PhasesTable[[#This Row],[CIP '#]],ProjectsTable[[CIP '#]:[Project Classification 3]],10,FALSE)</f>
        <v>General Purpose</v>
      </c>
      <c r="J175" s="13" t="s">
        <v>201</v>
      </c>
      <c r="K175" s="12" t="s">
        <v>27</v>
      </c>
      <c r="L175" s="13" t="s">
        <v>226</v>
      </c>
      <c r="M175" s="14" t="s">
        <v>27</v>
      </c>
      <c r="N175" s="14" t="s">
        <v>27</v>
      </c>
      <c r="O175" s="111">
        <v>0</v>
      </c>
      <c r="P175" s="111">
        <v>0</v>
      </c>
      <c r="Q175" s="112">
        <v>933</v>
      </c>
      <c r="R175" s="113">
        <v>933</v>
      </c>
      <c r="S175" s="113">
        <v>933</v>
      </c>
      <c r="T175" s="113">
        <v>0</v>
      </c>
      <c r="U175" s="114">
        <v>0</v>
      </c>
      <c r="V175" s="111">
        <v>0</v>
      </c>
      <c r="W175" s="115">
        <f>SUM(Q175:U175)</f>
        <v>2799</v>
      </c>
      <c r="X175" s="116">
        <f>SUM(O175:V175)</f>
        <v>2799</v>
      </c>
      <c r="Y175" s="15" t="s">
        <v>339</v>
      </c>
      <c r="Z175" s="47" t="s">
        <v>287</v>
      </c>
      <c r="AA175" s="17" t="s">
        <v>335</v>
      </c>
      <c r="AB175" s="43"/>
    </row>
    <row r="176" spans="1:28" s="43" customFormat="1" ht="30" customHeight="1" x14ac:dyDescent="0.45">
      <c r="A176" s="29">
        <v>143</v>
      </c>
      <c r="B176" s="30">
        <v>1381</v>
      </c>
      <c r="C176" s="31" t="s">
        <v>155</v>
      </c>
      <c r="D176" s="29">
        <f>VLOOKUP(PhasesTable[[#This Row],[CIP '#]],ProjectsTable[[CIP '#]:[Project Classification 3]],5,FALSE)</f>
        <v>216</v>
      </c>
      <c r="E176" s="29">
        <f>VLOOKUP(PhasesTable[[#This Row],[CIP '#]],ProjectsTable[[CIP '#]:[Project Classification 3]],6,FALSE)</f>
        <v>216006</v>
      </c>
      <c r="F176" s="32" t="s">
        <v>119</v>
      </c>
      <c r="G176" s="23" t="str">
        <f>VLOOKUP(PhasesTable[[#This Row],[CIP '#]],ProjectsTable[[CIP '#]:[Project Classification 3]],8,FALSE)</f>
        <v>Wastewater</v>
      </c>
      <c r="H176" s="24" t="str">
        <f>VLOOKUP(PhasesTable[[#This Row],[CIP '#]],ProjectsTable[[CIP '#]:[Project Classification 3]],9,FALSE)</f>
        <v>WRRF</v>
      </c>
      <c r="I176" s="32" t="str">
        <f>VLOOKUP(PhasesTable[[#This Row],[CIP '#]],ProjectsTable[[CIP '#]:[Project Classification 3]],10,FALSE)</f>
        <v>General Purpose</v>
      </c>
      <c r="J176" s="32" t="s">
        <v>215</v>
      </c>
      <c r="K176" s="34" t="s">
        <v>27</v>
      </c>
      <c r="L176" s="32" t="s">
        <v>226</v>
      </c>
      <c r="M176" s="35" t="s">
        <v>27</v>
      </c>
      <c r="N176" s="35" t="s">
        <v>27</v>
      </c>
      <c r="O176" s="123">
        <v>0</v>
      </c>
      <c r="P176" s="123">
        <v>0</v>
      </c>
      <c r="Q176" s="124">
        <v>1700</v>
      </c>
      <c r="R176" s="125">
        <v>2000</v>
      </c>
      <c r="S176" s="125">
        <v>2000</v>
      </c>
      <c r="T176" s="125">
        <v>600</v>
      </c>
      <c r="U176" s="126">
        <v>500</v>
      </c>
      <c r="V176" s="123">
        <v>280</v>
      </c>
      <c r="W176" s="127">
        <f>SUM(Q176:U176)</f>
        <v>6800</v>
      </c>
      <c r="X176" s="128">
        <f>SUM(O176:V176)</f>
        <v>7080</v>
      </c>
      <c r="Y176" s="26" t="s">
        <v>338</v>
      </c>
      <c r="Z176" s="36" t="s">
        <v>286</v>
      </c>
      <c r="AA176" s="28" t="s">
        <v>335</v>
      </c>
    </row>
    <row r="177" spans="1:27" s="18" customFormat="1" ht="30" customHeight="1" x14ac:dyDescent="0.45">
      <c r="A177" s="29">
        <v>142</v>
      </c>
      <c r="B177" s="30">
        <v>1381</v>
      </c>
      <c r="C177" s="31" t="s">
        <v>155</v>
      </c>
      <c r="D177" s="29">
        <f>VLOOKUP(PhasesTable[[#This Row],[CIP '#]],ProjectsTable[[CIP '#]:[Project Classification 3]],5,FALSE)</f>
        <v>216</v>
      </c>
      <c r="E177" s="29">
        <f>VLOOKUP(PhasesTable[[#This Row],[CIP '#]],ProjectsTable[[CIP '#]:[Project Classification 3]],6,FALSE)</f>
        <v>216006</v>
      </c>
      <c r="F177" s="32" t="s">
        <v>119</v>
      </c>
      <c r="G177" s="23" t="str">
        <f>VLOOKUP(PhasesTable[[#This Row],[CIP '#]],ProjectsTable[[CIP '#]:[Project Classification 3]],8,FALSE)</f>
        <v>Wastewater</v>
      </c>
      <c r="H177" s="24" t="str">
        <f>VLOOKUP(PhasesTable[[#This Row],[CIP '#]],ProjectsTable[[CIP '#]:[Project Classification 3]],9,FALSE)</f>
        <v>WRRF</v>
      </c>
      <c r="I177" s="32" t="str">
        <f>VLOOKUP(PhasesTable[[#This Row],[CIP '#]],ProjectsTable[[CIP '#]:[Project Classification 3]],10,FALSE)</f>
        <v>General Purpose</v>
      </c>
      <c r="J177" s="32" t="s">
        <v>201</v>
      </c>
      <c r="K177" s="34" t="s">
        <v>27</v>
      </c>
      <c r="L177" s="32" t="s">
        <v>226</v>
      </c>
      <c r="M177" s="35" t="s">
        <v>27</v>
      </c>
      <c r="N177" s="35" t="s">
        <v>27</v>
      </c>
      <c r="O177" s="123">
        <v>0</v>
      </c>
      <c r="P177" s="123">
        <v>0</v>
      </c>
      <c r="Q177" s="124">
        <v>0</v>
      </c>
      <c r="R177" s="125">
        <v>0</v>
      </c>
      <c r="S177" s="125">
        <v>10000</v>
      </c>
      <c r="T177" s="125">
        <v>15000</v>
      </c>
      <c r="U177" s="126">
        <v>15779</v>
      </c>
      <c r="V177" s="123">
        <v>2141</v>
      </c>
      <c r="W177" s="127">
        <f>SUM(Q177:U177)</f>
        <v>40779</v>
      </c>
      <c r="X177" s="128">
        <f>SUM(O177:V177)</f>
        <v>42920</v>
      </c>
      <c r="Y177" s="26" t="s">
        <v>338</v>
      </c>
      <c r="Z177" s="36" t="s">
        <v>286</v>
      </c>
      <c r="AA177" s="28" t="s">
        <v>335</v>
      </c>
    </row>
    <row r="178" spans="1:27" s="43" customFormat="1" ht="30" customHeight="1" x14ac:dyDescent="0.45">
      <c r="A178" s="29">
        <v>104</v>
      </c>
      <c r="B178" s="30">
        <v>1382</v>
      </c>
      <c r="C178" s="31" t="s">
        <v>129</v>
      </c>
      <c r="D178" s="29">
        <f>VLOOKUP(PhasesTable[[#This Row],[CIP '#]],ProjectsTable[[CIP '#]:[Project Classification 3]],5,FALSE)</f>
        <v>211</v>
      </c>
      <c r="E178" s="29">
        <f>VLOOKUP(PhasesTable[[#This Row],[CIP '#]],ProjectsTable[[CIP '#]:[Project Classification 3]],6,FALSE)</f>
        <v>211008</v>
      </c>
      <c r="F178" s="32" t="s">
        <v>119</v>
      </c>
      <c r="G178" s="23" t="str">
        <f>VLOOKUP(PhasesTable[[#This Row],[CIP '#]],ProjectsTable[[CIP '#]:[Project Classification 3]],8,FALSE)</f>
        <v>Wastewater</v>
      </c>
      <c r="H178" s="24" t="str">
        <f>VLOOKUP(PhasesTable[[#This Row],[CIP '#]],ProjectsTable[[CIP '#]:[Project Classification 3]],9,FALSE)</f>
        <v>WRRF</v>
      </c>
      <c r="I178" s="32" t="str">
        <f>VLOOKUP(PhasesTable[[#This Row],[CIP '#]],ProjectsTable[[CIP '#]:[Project Classification 3]],10,FALSE)</f>
        <v>Primary Treatment</v>
      </c>
      <c r="J178" s="32" t="s">
        <v>215</v>
      </c>
      <c r="K178" s="34" t="s">
        <v>27</v>
      </c>
      <c r="L178" s="32" t="s">
        <v>226</v>
      </c>
      <c r="M178" s="35" t="s">
        <v>27</v>
      </c>
      <c r="N178" s="35" t="s">
        <v>27</v>
      </c>
      <c r="O178" s="123">
        <v>0</v>
      </c>
      <c r="P178" s="123">
        <v>0</v>
      </c>
      <c r="Q178" s="124">
        <v>400</v>
      </c>
      <c r="R178" s="125">
        <v>400</v>
      </c>
      <c r="S178" s="125">
        <v>200</v>
      </c>
      <c r="T178" s="125">
        <v>0</v>
      </c>
      <c r="U178" s="126">
        <v>0</v>
      </c>
      <c r="V178" s="123">
        <v>0</v>
      </c>
      <c r="W178" s="127">
        <f>SUM(Q178:U178)</f>
        <v>1000</v>
      </c>
      <c r="X178" s="128">
        <f>SUM(O178:V178)</f>
        <v>1000</v>
      </c>
      <c r="Y178" s="26" t="s">
        <v>338</v>
      </c>
      <c r="Z178" s="36" t="s">
        <v>288</v>
      </c>
      <c r="AA178" s="28" t="s">
        <v>335</v>
      </c>
    </row>
    <row r="179" spans="1:27" s="18" customFormat="1" ht="30" customHeight="1" x14ac:dyDescent="0.45">
      <c r="A179" s="29">
        <v>103</v>
      </c>
      <c r="B179" s="30">
        <v>1382</v>
      </c>
      <c r="C179" s="31" t="s">
        <v>129</v>
      </c>
      <c r="D179" s="29">
        <f>VLOOKUP(PhasesTable[[#This Row],[CIP '#]],ProjectsTable[[CIP '#]:[Project Classification 3]],5,FALSE)</f>
        <v>211</v>
      </c>
      <c r="E179" s="29">
        <f>VLOOKUP(PhasesTable[[#This Row],[CIP '#]],ProjectsTable[[CIP '#]:[Project Classification 3]],6,FALSE)</f>
        <v>211008</v>
      </c>
      <c r="F179" s="32" t="s">
        <v>119</v>
      </c>
      <c r="G179" s="23" t="str">
        <f>VLOOKUP(PhasesTable[[#This Row],[CIP '#]],ProjectsTable[[CIP '#]:[Project Classification 3]],8,FALSE)</f>
        <v>Wastewater</v>
      </c>
      <c r="H179" s="24" t="str">
        <f>VLOOKUP(PhasesTable[[#This Row],[CIP '#]],ProjectsTable[[CIP '#]:[Project Classification 3]],9,FALSE)</f>
        <v>WRRF</v>
      </c>
      <c r="I179" s="32" t="str">
        <f>VLOOKUP(PhasesTable[[#This Row],[CIP '#]],ProjectsTable[[CIP '#]:[Project Classification 3]],10,FALSE)</f>
        <v>Primary Treatment</v>
      </c>
      <c r="J179" s="32" t="s">
        <v>201</v>
      </c>
      <c r="K179" s="34" t="s">
        <v>27</v>
      </c>
      <c r="L179" s="32" t="s">
        <v>226</v>
      </c>
      <c r="M179" s="35" t="s">
        <v>27</v>
      </c>
      <c r="N179" s="35" t="s">
        <v>27</v>
      </c>
      <c r="O179" s="123">
        <v>0</v>
      </c>
      <c r="P179" s="123">
        <v>0</v>
      </c>
      <c r="Q179" s="124">
        <v>0</v>
      </c>
      <c r="R179" s="125">
        <v>1000</v>
      </c>
      <c r="S179" s="125">
        <v>5000</v>
      </c>
      <c r="T179" s="125">
        <v>2000</v>
      </c>
      <c r="U179" s="126">
        <v>633</v>
      </c>
      <c r="V179" s="123">
        <v>0</v>
      </c>
      <c r="W179" s="127">
        <f>SUM(Q179:U179)</f>
        <v>8633</v>
      </c>
      <c r="X179" s="128">
        <f>SUM(O179:V179)</f>
        <v>8633</v>
      </c>
      <c r="Y179" s="26" t="s">
        <v>338</v>
      </c>
      <c r="Z179" s="36" t="s">
        <v>288</v>
      </c>
      <c r="AA179" s="28" t="s">
        <v>335</v>
      </c>
    </row>
    <row r="180" spans="1:27" s="43" customFormat="1" ht="30" customHeight="1" x14ac:dyDescent="0.45">
      <c r="A180" s="29">
        <v>129</v>
      </c>
      <c r="B180" s="30">
        <v>1383</v>
      </c>
      <c r="C180" s="31" t="s">
        <v>303</v>
      </c>
      <c r="D180" s="29">
        <f>VLOOKUP(PhasesTable[[#This Row],[CIP '#]],ProjectsTable[[CIP '#]:[Project Classification 3]],5,FALSE)</f>
        <v>213</v>
      </c>
      <c r="E180" s="29">
        <f>VLOOKUP(PhasesTable[[#This Row],[CIP '#]],ProjectsTable[[CIP '#]:[Project Classification 3]],6,FALSE)</f>
        <v>213008</v>
      </c>
      <c r="F180" s="32" t="s">
        <v>119</v>
      </c>
      <c r="G180" s="23" t="str">
        <f>VLOOKUP(PhasesTable[[#This Row],[CIP '#]],ProjectsTable[[CIP '#]:[Project Classification 3]],8,FALSE)</f>
        <v>Wastewater</v>
      </c>
      <c r="H180" s="24" t="str">
        <f>VLOOKUP(PhasesTable[[#This Row],[CIP '#]],ProjectsTable[[CIP '#]:[Project Classification 3]],9,FALSE)</f>
        <v>WRRF</v>
      </c>
      <c r="I180" s="32" t="str">
        <f>VLOOKUP(PhasesTable[[#This Row],[CIP '#]],ProjectsTable[[CIP '#]:[Project Classification 3]],10,FALSE)</f>
        <v>Residuals Management</v>
      </c>
      <c r="J180" s="32" t="s">
        <v>215</v>
      </c>
      <c r="K180" s="34" t="s">
        <v>27</v>
      </c>
      <c r="L180" s="32" t="s">
        <v>226</v>
      </c>
      <c r="M180" s="35" t="s">
        <v>27</v>
      </c>
      <c r="N180" s="35" t="s">
        <v>27</v>
      </c>
      <c r="O180" s="123">
        <v>0</v>
      </c>
      <c r="P180" s="123">
        <v>0</v>
      </c>
      <c r="Q180" s="124">
        <v>530</v>
      </c>
      <c r="R180" s="125">
        <v>1045</v>
      </c>
      <c r="S180" s="125">
        <v>225</v>
      </c>
      <c r="T180" s="125">
        <v>225</v>
      </c>
      <c r="U180" s="126">
        <v>125</v>
      </c>
      <c r="V180" s="123">
        <v>0</v>
      </c>
      <c r="W180" s="127">
        <f>SUM(Q180:U180)</f>
        <v>2150</v>
      </c>
      <c r="X180" s="128">
        <f>SUM(O180:V180)</f>
        <v>2150</v>
      </c>
      <c r="Y180" s="26" t="s">
        <v>338</v>
      </c>
      <c r="Z180" s="36" t="s">
        <v>288</v>
      </c>
      <c r="AA180" s="28" t="s">
        <v>335</v>
      </c>
    </row>
    <row r="181" spans="1:27" s="43" customFormat="1" ht="30" customHeight="1" x14ac:dyDescent="0.45">
      <c r="A181" s="29">
        <v>128</v>
      </c>
      <c r="B181" s="30">
        <v>1383</v>
      </c>
      <c r="C181" s="31" t="s">
        <v>303</v>
      </c>
      <c r="D181" s="29">
        <f>VLOOKUP(PhasesTable[[#This Row],[CIP '#]],ProjectsTable[[CIP '#]:[Project Classification 3]],5,FALSE)</f>
        <v>213</v>
      </c>
      <c r="E181" s="29">
        <f>VLOOKUP(PhasesTable[[#This Row],[CIP '#]],ProjectsTable[[CIP '#]:[Project Classification 3]],6,FALSE)</f>
        <v>213008</v>
      </c>
      <c r="F181" s="32" t="s">
        <v>119</v>
      </c>
      <c r="G181" s="23" t="str">
        <f>VLOOKUP(PhasesTable[[#This Row],[CIP '#]],ProjectsTable[[CIP '#]:[Project Classification 3]],8,FALSE)</f>
        <v>Wastewater</v>
      </c>
      <c r="H181" s="24" t="str">
        <f>VLOOKUP(PhasesTable[[#This Row],[CIP '#]],ProjectsTable[[CIP '#]:[Project Classification 3]],9,FALSE)</f>
        <v>WRRF</v>
      </c>
      <c r="I181" s="32" t="str">
        <f>VLOOKUP(PhasesTable[[#This Row],[CIP '#]],ProjectsTable[[CIP '#]:[Project Classification 3]],10,FALSE)</f>
        <v>Residuals Management</v>
      </c>
      <c r="J181" s="32" t="s">
        <v>201</v>
      </c>
      <c r="K181" s="34" t="s">
        <v>27</v>
      </c>
      <c r="L181" s="32" t="s">
        <v>226</v>
      </c>
      <c r="M181" s="35" t="s">
        <v>27</v>
      </c>
      <c r="N181" s="35" t="s">
        <v>27</v>
      </c>
      <c r="O181" s="123">
        <v>0</v>
      </c>
      <c r="P181" s="123">
        <v>0</v>
      </c>
      <c r="Q181" s="124">
        <v>0</v>
      </c>
      <c r="R181" s="125">
        <v>0</v>
      </c>
      <c r="S181" s="125">
        <v>6000</v>
      </c>
      <c r="T181" s="125">
        <v>5500</v>
      </c>
      <c r="U181" s="126">
        <v>4666</v>
      </c>
      <c r="V181" s="123">
        <v>0</v>
      </c>
      <c r="W181" s="127">
        <f>SUM(Q181:U181)</f>
        <v>16166</v>
      </c>
      <c r="X181" s="128">
        <f>SUM(O181:V181)</f>
        <v>16166</v>
      </c>
      <c r="Y181" s="26" t="s">
        <v>338</v>
      </c>
      <c r="Z181" s="36" t="s">
        <v>288</v>
      </c>
      <c r="AA181" s="28" t="s">
        <v>335</v>
      </c>
    </row>
    <row r="182" spans="1:27" s="43" customFormat="1" ht="30" customHeight="1" x14ac:dyDescent="0.45">
      <c r="A182" s="64">
        <v>228</v>
      </c>
      <c r="B182" s="30">
        <v>1384</v>
      </c>
      <c r="C182" s="31" t="s">
        <v>150</v>
      </c>
      <c r="D182" s="30">
        <f>VLOOKUP(PhasesTable[[#This Row],[CIP '#]],ProjectsTable[[CIP '#]:[Project Classification 3]],5,FALSE)</f>
        <v>215</v>
      </c>
      <c r="E182" s="30">
        <f>VLOOKUP(PhasesTable[[#This Row],[CIP '#]],ProjectsTable[[CIP '#]:[Project Classification 3]],6,FALSE)</f>
        <v>215001</v>
      </c>
      <c r="F182" s="32" t="s">
        <v>119</v>
      </c>
      <c r="G182" s="63" t="str">
        <f>VLOOKUP(PhasesTable[[#This Row],[CIP '#]],ProjectsTable[[CIP '#]:[Project Classification 3]],8,FALSE)</f>
        <v>Wastewater</v>
      </c>
      <c r="H182" s="65" t="str">
        <f>VLOOKUP(PhasesTable[[#This Row],[CIP '#]],ProjectsTable[[CIP '#]:[Project Classification 3]],9,FALSE)</f>
        <v>WRRF</v>
      </c>
      <c r="I182" s="63" t="str">
        <f>VLOOKUP(PhasesTable[[#This Row],[CIP '#]],ProjectsTable[[CIP '#]:[Project Classification 3]],10,FALSE)</f>
        <v>CSO RTB &amp; SDF</v>
      </c>
      <c r="J182" s="32" t="s">
        <v>201</v>
      </c>
      <c r="K182" s="34" t="s">
        <v>311</v>
      </c>
      <c r="L182" s="32" t="s">
        <v>222</v>
      </c>
      <c r="M182" s="35" t="s">
        <v>27</v>
      </c>
      <c r="N182" s="35" t="s">
        <v>27</v>
      </c>
      <c r="O182" s="123">
        <v>0</v>
      </c>
      <c r="P182" s="123">
        <v>500</v>
      </c>
      <c r="Q182" s="124">
        <v>1137</v>
      </c>
      <c r="R182" s="125">
        <v>0</v>
      </c>
      <c r="S182" s="125">
        <v>0</v>
      </c>
      <c r="T182" s="125">
        <v>0</v>
      </c>
      <c r="U182" s="126">
        <v>0</v>
      </c>
      <c r="V182" s="123">
        <v>0</v>
      </c>
      <c r="W182" s="127">
        <f>SUM(Q182:U182)</f>
        <v>1137</v>
      </c>
      <c r="X182" s="128">
        <f>SUM(O182:V182)</f>
        <v>1637</v>
      </c>
      <c r="Y182" s="26" t="s">
        <v>338</v>
      </c>
      <c r="Z182" s="60" t="s">
        <v>288</v>
      </c>
      <c r="AA182" s="72" t="s">
        <v>336</v>
      </c>
    </row>
    <row r="183" spans="1:27" s="43" customFormat="1" ht="30" customHeight="1" x14ac:dyDescent="0.45">
      <c r="A183" s="29">
        <v>132</v>
      </c>
      <c r="B183" s="30">
        <v>1384</v>
      </c>
      <c r="C183" s="31" t="s">
        <v>150</v>
      </c>
      <c r="D183" s="29">
        <f>VLOOKUP(PhasesTable[[#This Row],[CIP '#]],ProjectsTable[[CIP '#]:[Project Classification 3]],5,FALSE)</f>
        <v>215</v>
      </c>
      <c r="E183" s="29">
        <f>VLOOKUP(PhasesTable[[#This Row],[CIP '#]],ProjectsTable[[CIP '#]:[Project Classification 3]],6,FALSE)</f>
        <v>215001</v>
      </c>
      <c r="F183" s="32" t="s">
        <v>119</v>
      </c>
      <c r="G183" s="32" t="str">
        <f>VLOOKUP(PhasesTable[[#This Row],[CIP '#]],ProjectsTable[[CIP '#]:[Project Classification 3]],8,FALSE)</f>
        <v>Wastewater</v>
      </c>
      <c r="H183" s="33" t="str">
        <f>VLOOKUP(PhasesTable[[#This Row],[CIP '#]],ProjectsTable[[CIP '#]:[Project Classification 3]],9,FALSE)</f>
        <v>WRRF</v>
      </c>
      <c r="I183" s="32" t="str">
        <f>VLOOKUP(PhasesTable[[#This Row],[CIP '#]],ProjectsTable[[CIP '#]:[Project Classification 3]],10,FALSE)</f>
        <v>CSO RTB &amp; SDF</v>
      </c>
      <c r="J183" s="32" t="s">
        <v>215</v>
      </c>
      <c r="K183" s="34" t="s">
        <v>27</v>
      </c>
      <c r="L183" s="32" t="s">
        <v>226</v>
      </c>
      <c r="M183" s="35" t="s">
        <v>27</v>
      </c>
      <c r="N183" s="35" t="s">
        <v>27</v>
      </c>
      <c r="O183" s="123">
        <v>0</v>
      </c>
      <c r="P183" s="123">
        <v>2171</v>
      </c>
      <c r="Q183" s="124">
        <v>1000</v>
      </c>
      <c r="R183" s="125">
        <v>1400</v>
      </c>
      <c r="S183" s="125">
        <v>1000</v>
      </c>
      <c r="T183" s="125">
        <v>200</v>
      </c>
      <c r="U183" s="126">
        <v>100</v>
      </c>
      <c r="V183" s="123">
        <v>0</v>
      </c>
      <c r="W183" s="127">
        <f>SUM(Q183:U183)</f>
        <v>3700</v>
      </c>
      <c r="X183" s="128">
        <f>SUM(O183:V183)</f>
        <v>5871</v>
      </c>
      <c r="Y183" s="26" t="s">
        <v>338</v>
      </c>
      <c r="Z183" s="60" t="s">
        <v>288</v>
      </c>
      <c r="AA183" s="72" t="s">
        <v>336</v>
      </c>
    </row>
    <row r="184" spans="1:27" s="43" customFormat="1" ht="30" customHeight="1" x14ac:dyDescent="0.45">
      <c r="A184" s="64">
        <v>232</v>
      </c>
      <c r="B184" s="30">
        <v>1384</v>
      </c>
      <c r="C184" s="31" t="s">
        <v>150</v>
      </c>
      <c r="D184" s="30">
        <f>VLOOKUP(PhasesTable[[#This Row],[CIP '#]],ProjectsTable[[CIP '#]:[Project Classification 3]],5,FALSE)</f>
        <v>215</v>
      </c>
      <c r="E184" s="30">
        <f>VLOOKUP(PhasesTable[[#This Row],[CIP '#]],ProjectsTable[[CIP '#]:[Project Classification 3]],6,FALSE)</f>
        <v>215001</v>
      </c>
      <c r="F184" s="32" t="s">
        <v>119</v>
      </c>
      <c r="G184" s="63" t="str">
        <f>VLOOKUP(PhasesTable[[#This Row],[CIP '#]],ProjectsTable[[CIP '#]:[Project Classification 3]],8,FALSE)</f>
        <v>Wastewater</v>
      </c>
      <c r="H184" s="65" t="str">
        <f>VLOOKUP(PhasesTable[[#This Row],[CIP '#]],ProjectsTable[[CIP '#]:[Project Classification 3]],9,FALSE)</f>
        <v>WRRF</v>
      </c>
      <c r="I184" s="63" t="str">
        <f>VLOOKUP(PhasesTable[[#This Row],[CIP '#]],ProjectsTable[[CIP '#]:[Project Classification 3]],10,FALSE)</f>
        <v>CSO RTB &amp; SDF</v>
      </c>
      <c r="J184" s="32" t="s">
        <v>206</v>
      </c>
      <c r="K184" s="34" t="s">
        <v>313</v>
      </c>
      <c r="L184" s="32" t="s">
        <v>222</v>
      </c>
      <c r="M184" s="35" t="s">
        <v>27</v>
      </c>
      <c r="N184" s="35" t="s">
        <v>27</v>
      </c>
      <c r="O184" s="123">
        <v>0</v>
      </c>
      <c r="P184" s="123">
        <v>200</v>
      </c>
      <c r="Q184" s="124">
        <v>110</v>
      </c>
      <c r="R184" s="125">
        <v>0</v>
      </c>
      <c r="S184" s="125">
        <v>0</v>
      </c>
      <c r="T184" s="125">
        <v>0</v>
      </c>
      <c r="U184" s="126">
        <v>0</v>
      </c>
      <c r="V184" s="123">
        <v>0</v>
      </c>
      <c r="W184" s="127">
        <f>SUM(Q184:U184)</f>
        <v>110</v>
      </c>
      <c r="X184" s="128">
        <f>SUM(O184:V184)</f>
        <v>310</v>
      </c>
      <c r="Y184" s="26" t="s">
        <v>338</v>
      </c>
      <c r="Z184" s="60" t="s">
        <v>288</v>
      </c>
      <c r="AA184" s="72" t="s">
        <v>336</v>
      </c>
    </row>
    <row r="185" spans="1:27" s="43" customFormat="1" ht="30" customHeight="1" x14ac:dyDescent="0.45">
      <c r="A185" s="29">
        <v>131</v>
      </c>
      <c r="B185" s="30">
        <v>1384</v>
      </c>
      <c r="C185" s="31" t="s">
        <v>150</v>
      </c>
      <c r="D185" s="29">
        <f>VLOOKUP(PhasesTable[[#This Row],[CIP '#]],ProjectsTable[[CIP '#]:[Project Classification 3]],5,FALSE)</f>
        <v>215</v>
      </c>
      <c r="E185" s="29">
        <f>VLOOKUP(PhasesTable[[#This Row],[CIP '#]],ProjectsTable[[CIP '#]:[Project Classification 3]],6,FALSE)</f>
        <v>215001</v>
      </c>
      <c r="F185" s="32" t="s">
        <v>119</v>
      </c>
      <c r="G185" s="32" t="str">
        <f>VLOOKUP(PhasesTable[[#This Row],[CIP '#]],ProjectsTable[[CIP '#]:[Project Classification 3]],8,FALSE)</f>
        <v>Wastewater</v>
      </c>
      <c r="H185" s="33" t="str">
        <f>VLOOKUP(PhasesTable[[#This Row],[CIP '#]],ProjectsTable[[CIP '#]:[Project Classification 3]],9,FALSE)</f>
        <v>WRRF</v>
      </c>
      <c r="I185" s="32" t="str">
        <f>VLOOKUP(PhasesTable[[#This Row],[CIP '#]],ProjectsTable[[CIP '#]:[Project Classification 3]],10,FALSE)</f>
        <v>CSO RTB &amp; SDF</v>
      </c>
      <c r="J185" s="32" t="s">
        <v>201</v>
      </c>
      <c r="K185" s="34" t="s">
        <v>27</v>
      </c>
      <c r="L185" s="32" t="s">
        <v>226</v>
      </c>
      <c r="M185" s="35" t="s">
        <v>27</v>
      </c>
      <c r="N185" s="35" t="s">
        <v>27</v>
      </c>
      <c r="O185" s="123">
        <v>0</v>
      </c>
      <c r="P185" s="123">
        <v>0</v>
      </c>
      <c r="Q185" s="124">
        <v>0</v>
      </c>
      <c r="R185" s="125">
        <v>5000</v>
      </c>
      <c r="S185" s="125">
        <v>8000</v>
      </c>
      <c r="T185" s="125">
        <v>7000</v>
      </c>
      <c r="U185" s="126">
        <v>3510</v>
      </c>
      <c r="V185" s="123">
        <v>0</v>
      </c>
      <c r="W185" s="127">
        <f>SUM(Q185:U185)</f>
        <v>23510</v>
      </c>
      <c r="X185" s="128">
        <f>SUM(O185:V185)</f>
        <v>23510</v>
      </c>
      <c r="Y185" s="26" t="s">
        <v>338</v>
      </c>
      <c r="Z185" s="60" t="s">
        <v>288</v>
      </c>
      <c r="AA185" s="72" t="s">
        <v>336</v>
      </c>
    </row>
    <row r="186" spans="1:27" s="43" customFormat="1" ht="30" customHeight="1" x14ac:dyDescent="0.45">
      <c r="A186" s="64">
        <v>230</v>
      </c>
      <c r="B186" s="30">
        <v>1384</v>
      </c>
      <c r="C186" s="31" t="s">
        <v>150</v>
      </c>
      <c r="D186" s="30">
        <f>VLOOKUP(PhasesTable[[#This Row],[CIP '#]],ProjectsTable[[CIP '#]:[Project Classification 3]],5,FALSE)</f>
        <v>215</v>
      </c>
      <c r="E186" s="30">
        <f>VLOOKUP(PhasesTable[[#This Row],[CIP '#]],ProjectsTable[[CIP '#]:[Project Classification 3]],6,FALSE)</f>
        <v>215001</v>
      </c>
      <c r="F186" s="32" t="s">
        <v>119</v>
      </c>
      <c r="G186" s="63" t="str">
        <f>VLOOKUP(PhasesTable[[#This Row],[CIP '#]],ProjectsTable[[CIP '#]:[Project Classification 3]],8,FALSE)</f>
        <v>Wastewater</v>
      </c>
      <c r="H186" s="65" t="str">
        <f>VLOOKUP(PhasesTable[[#This Row],[CIP '#]],ProjectsTable[[CIP '#]:[Project Classification 3]],9,FALSE)</f>
        <v>WRRF</v>
      </c>
      <c r="I186" s="63" t="str">
        <f>VLOOKUP(PhasesTable[[#This Row],[CIP '#]],ProjectsTable[[CIP '#]:[Project Classification 3]],10,FALSE)</f>
        <v>CSO RTB &amp; SDF</v>
      </c>
      <c r="J186" s="32" t="s">
        <v>201</v>
      </c>
      <c r="K186" s="34" t="s">
        <v>318</v>
      </c>
      <c r="L186" s="32" t="s">
        <v>222</v>
      </c>
      <c r="M186" s="35" t="s">
        <v>27</v>
      </c>
      <c r="N186" s="35" t="s">
        <v>27</v>
      </c>
      <c r="O186" s="123">
        <v>0</v>
      </c>
      <c r="P186" s="123">
        <v>390</v>
      </c>
      <c r="Q186" s="124">
        <v>0</v>
      </c>
      <c r="R186" s="125">
        <v>0</v>
      </c>
      <c r="S186" s="125">
        <v>0</v>
      </c>
      <c r="T186" s="125">
        <v>0</v>
      </c>
      <c r="U186" s="126">
        <v>0</v>
      </c>
      <c r="V186" s="123">
        <v>0</v>
      </c>
      <c r="W186" s="127">
        <f>SUM(Q186:U186)</f>
        <v>0</v>
      </c>
      <c r="X186" s="128">
        <f>SUM(O186:V186)</f>
        <v>390</v>
      </c>
      <c r="Y186" s="26" t="s">
        <v>338</v>
      </c>
      <c r="Z186" s="60" t="s">
        <v>288</v>
      </c>
      <c r="AA186" s="72" t="s">
        <v>336</v>
      </c>
    </row>
    <row r="187" spans="1:27" s="43" customFormat="1" ht="30" customHeight="1" x14ac:dyDescent="0.45">
      <c r="A187" s="29">
        <v>231</v>
      </c>
      <c r="B187" s="30">
        <v>1384</v>
      </c>
      <c r="C187" s="31" t="s">
        <v>150</v>
      </c>
      <c r="D187" s="30">
        <f>VLOOKUP(PhasesTable[[#This Row],[CIP '#]],ProjectsTable[[CIP '#]:[Project Classification 3]],5,FALSE)</f>
        <v>215</v>
      </c>
      <c r="E187" s="30">
        <f>VLOOKUP(PhasesTable[[#This Row],[CIP '#]],ProjectsTable[[CIP '#]:[Project Classification 3]],6,FALSE)</f>
        <v>215001</v>
      </c>
      <c r="F187" s="32" t="s">
        <v>119</v>
      </c>
      <c r="G187" s="63" t="str">
        <f>VLOOKUP(PhasesTable[[#This Row],[CIP '#]],ProjectsTable[[CIP '#]:[Project Classification 3]],8,FALSE)</f>
        <v>Wastewater</v>
      </c>
      <c r="H187" s="65" t="str">
        <f>VLOOKUP(PhasesTable[[#This Row],[CIP '#]],ProjectsTable[[CIP '#]:[Project Classification 3]],9,FALSE)</f>
        <v>WRRF</v>
      </c>
      <c r="I187" s="63" t="str">
        <f>VLOOKUP(PhasesTable[[#This Row],[CIP '#]],ProjectsTable[[CIP '#]:[Project Classification 3]],10,FALSE)</f>
        <v>CSO RTB &amp; SDF</v>
      </c>
      <c r="J187" s="32" t="s">
        <v>206</v>
      </c>
      <c r="K187" s="34" t="s">
        <v>322</v>
      </c>
      <c r="L187" s="32" t="s">
        <v>222</v>
      </c>
      <c r="M187" s="35" t="s">
        <v>27</v>
      </c>
      <c r="N187" s="35" t="s">
        <v>27</v>
      </c>
      <c r="O187" s="123">
        <v>0</v>
      </c>
      <c r="P187" s="123">
        <v>92</v>
      </c>
      <c r="Q187" s="124">
        <v>0</v>
      </c>
      <c r="R187" s="125">
        <v>0</v>
      </c>
      <c r="S187" s="125">
        <v>0</v>
      </c>
      <c r="T187" s="125">
        <v>0</v>
      </c>
      <c r="U187" s="126">
        <v>0</v>
      </c>
      <c r="V187" s="123">
        <v>0</v>
      </c>
      <c r="W187" s="127">
        <f>SUM(Q187:U187)</f>
        <v>0</v>
      </c>
      <c r="X187" s="128">
        <f>SUM(O187:V187)</f>
        <v>92</v>
      </c>
      <c r="Y187" s="26" t="s">
        <v>338</v>
      </c>
      <c r="Z187" s="60" t="s">
        <v>288</v>
      </c>
      <c r="AA187" s="72" t="s">
        <v>336</v>
      </c>
    </row>
    <row r="188" spans="1:27" s="18" customFormat="1" ht="30" customHeight="1" x14ac:dyDescent="0.45">
      <c r="A188" s="29">
        <v>229</v>
      </c>
      <c r="B188" s="30">
        <v>1384</v>
      </c>
      <c r="C188" s="31" t="s">
        <v>150</v>
      </c>
      <c r="D188" s="30">
        <f>VLOOKUP(PhasesTable[[#This Row],[CIP '#]],ProjectsTable[[CIP '#]:[Project Classification 3]],5,FALSE)</f>
        <v>215</v>
      </c>
      <c r="E188" s="30">
        <f>VLOOKUP(PhasesTable[[#This Row],[CIP '#]],ProjectsTable[[CIP '#]:[Project Classification 3]],6,FALSE)</f>
        <v>215001</v>
      </c>
      <c r="F188" s="32" t="s">
        <v>119</v>
      </c>
      <c r="G188" s="63" t="str">
        <f>VLOOKUP(PhasesTable[[#This Row],[CIP '#]],ProjectsTable[[CIP '#]:[Project Classification 3]],8,FALSE)</f>
        <v>Wastewater</v>
      </c>
      <c r="H188" s="65" t="str">
        <f>VLOOKUP(PhasesTable[[#This Row],[CIP '#]],ProjectsTable[[CIP '#]:[Project Classification 3]],9,FALSE)</f>
        <v>WRRF</v>
      </c>
      <c r="I188" s="63" t="str">
        <f>VLOOKUP(PhasesTable[[#This Row],[CIP '#]],ProjectsTable[[CIP '#]:[Project Classification 3]],10,FALSE)</f>
        <v>CSO RTB &amp; SDF</v>
      </c>
      <c r="J188" s="32" t="s">
        <v>201</v>
      </c>
      <c r="K188" s="34" t="s">
        <v>312</v>
      </c>
      <c r="L188" s="32" t="s">
        <v>222</v>
      </c>
      <c r="M188" s="35" t="s">
        <v>27</v>
      </c>
      <c r="N188" s="35" t="s">
        <v>27</v>
      </c>
      <c r="O188" s="123">
        <v>0</v>
      </c>
      <c r="P188" s="123">
        <v>167</v>
      </c>
      <c r="Q188" s="124">
        <v>0</v>
      </c>
      <c r="R188" s="125">
        <v>0</v>
      </c>
      <c r="S188" s="125">
        <v>0</v>
      </c>
      <c r="T188" s="125">
        <v>0</v>
      </c>
      <c r="U188" s="126">
        <v>0</v>
      </c>
      <c r="V188" s="123">
        <v>0</v>
      </c>
      <c r="W188" s="127">
        <f>SUM(Q188:U188)</f>
        <v>0</v>
      </c>
      <c r="X188" s="128">
        <f>SUM(O188:V188)</f>
        <v>167</v>
      </c>
      <c r="Y188" s="26" t="s">
        <v>338</v>
      </c>
      <c r="Z188" s="60" t="s">
        <v>288</v>
      </c>
      <c r="AA188" s="72" t="s">
        <v>336</v>
      </c>
    </row>
    <row r="189" spans="1:27" s="43" customFormat="1" ht="30" customHeight="1" x14ac:dyDescent="0.45">
      <c r="A189" s="29">
        <v>111</v>
      </c>
      <c r="B189" s="30">
        <v>1385</v>
      </c>
      <c r="C189" s="31" t="s">
        <v>136</v>
      </c>
      <c r="D189" s="29">
        <f>VLOOKUP(PhasesTable[[#This Row],[CIP '#]],ProjectsTable[[CIP '#]:[Project Classification 3]],5,FALSE)</f>
        <v>212</v>
      </c>
      <c r="E189" s="29">
        <f>VLOOKUP(PhasesTable[[#This Row],[CIP '#]],ProjectsTable[[CIP '#]:[Project Classification 3]],6,FALSE)</f>
        <v>212007</v>
      </c>
      <c r="F189" s="32" t="s">
        <v>119</v>
      </c>
      <c r="G189" s="23" t="str">
        <f>VLOOKUP(PhasesTable[[#This Row],[CIP '#]],ProjectsTable[[CIP '#]:[Project Classification 3]],8,FALSE)</f>
        <v>Wastewater</v>
      </c>
      <c r="H189" s="24" t="str">
        <f>VLOOKUP(PhasesTable[[#This Row],[CIP '#]],ProjectsTable[[CIP '#]:[Project Classification 3]],9,FALSE)</f>
        <v>WRRF</v>
      </c>
      <c r="I189" s="32" t="str">
        <f>VLOOKUP(PhasesTable[[#This Row],[CIP '#]],ProjectsTable[[CIP '#]:[Project Classification 3]],10,FALSE)</f>
        <v>Secondary Treatment &amp; Disinfection</v>
      </c>
      <c r="J189" s="32" t="s">
        <v>215</v>
      </c>
      <c r="K189" s="34" t="s">
        <v>27</v>
      </c>
      <c r="L189" s="32" t="s">
        <v>226</v>
      </c>
      <c r="M189" s="35" t="s">
        <v>27</v>
      </c>
      <c r="N189" s="35" t="s">
        <v>27</v>
      </c>
      <c r="O189" s="123">
        <v>0</v>
      </c>
      <c r="P189" s="123">
        <v>0</v>
      </c>
      <c r="Q189" s="124">
        <v>301</v>
      </c>
      <c r="R189" s="125">
        <v>576</v>
      </c>
      <c r="S189" s="125">
        <v>543</v>
      </c>
      <c r="T189" s="125">
        <v>540</v>
      </c>
      <c r="U189" s="126">
        <v>540</v>
      </c>
      <c r="V189" s="123">
        <v>1499</v>
      </c>
      <c r="W189" s="127">
        <f>SUM(Q189:U189)</f>
        <v>2500</v>
      </c>
      <c r="X189" s="128">
        <f>SUM(O189:V189)</f>
        <v>3999</v>
      </c>
      <c r="Y189" s="26" t="s">
        <v>338</v>
      </c>
      <c r="Z189" s="36" t="s">
        <v>288</v>
      </c>
      <c r="AA189" s="28" t="s">
        <v>335</v>
      </c>
    </row>
    <row r="190" spans="1:27" s="43" customFormat="1" ht="30" customHeight="1" x14ac:dyDescent="0.45">
      <c r="A190" s="29">
        <v>110</v>
      </c>
      <c r="B190" s="30">
        <v>1385</v>
      </c>
      <c r="C190" s="31" t="s">
        <v>136</v>
      </c>
      <c r="D190" s="29">
        <f>VLOOKUP(PhasesTable[[#This Row],[CIP '#]],ProjectsTable[[CIP '#]:[Project Classification 3]],5,FALSE)</f>
        <v>212</v>
      </c>
      <c r="E190" s="29">
        <f>VLOOKUP(PhasesTable[[#This Row],[CIP '#]],ProjectsTable[[CIP '#]:[Project Classification 3]],6,FALSE)</f>
        <v>212007</v>
      </c>
      <c r="F190" s="32" t="s">
        <v>119</v>
      </c>
      <c r="G190" s="23" t="str">
        <f>VLOOKUP(PhasesTable[[#This Row],[CIP '#]],ProjectsTable[[CIP '#]:[Project Classification 3]],8,FALSE)</f>
        <v>Wastewater</v>
      </c>
      <c r="H190" s="24" t="str">
        <f>VLOOKUP(PhasesTable[[#This Row],[CIP '#]],ProjectsTable[[CIP '#]:[Project Classification 3]],9,FALSE)</f>
        <v>WRRF</v>
      </c>
      <c r="I190" s="32" t="str">
        <f>VLOOKUP(PhasesTable[[#This Row],[CIP '#]],ProjectsTable[[CIP '#]:[Project Classification 3]],10,FALSE)</f>
        <v>Secondary Treatment &amp; Disinfection</v>
      </c>
      <c r="J190" s="32" t="s">
        <v>201</v>
      </c>
      <c r="K190" s="34" t="s">
        <v>27</v>
      </c>
      <c r="L190" s="32" t="s">
        <v>226</v>
      </c>
      <c r="M190" s="35" t="s">
        <v>27</v>
      </c>
      <c r="N190" s="35" t="s">
        <v>27</v>
      </c>
      <c r="O190" s="123">
        <v>0</v>
      </c>
      <c r="P190" s="123">
        <v>0</v>
      </c>
      <c r="Q190" s="124">
        <v>0</v>
      </c>
      <c r="R190" s="125">
        <v>3000</v>
      </c>
      <c r="S190" s="125">
        <v>5000</v>
      </c>
      <c r="T190" s="125">
        <v>5000</v>
      </c>
      <c r="U190" s="126">
        <v>5000</v>
      </c>
      <c r="V190" s="123">
        <v>9000</v>
      </c>
      <c r="W190" s="127">
        <f>SUM(Q190:U190)</f>
        <v>18000</v>
      </c>
      <c r="X190" s="128">
        <f>SUM(O190:V190)</f>
        <v>27000</v>
      </c>
      <c r="Y190" s="26" t="s">
        <v>338</v>
      </c>
      <c r="Z190" s="36" t="s">
        <v>288</v>
      </c>
      <c r="AA190" s="28" t="s">
        <v>335</v>
      </c>
    </row>
    <row r="191" spans="1:27" s="43" customFormat="1" ht="30" customHeight="1" x14ac:dyDescent="0.45">
      <c r="A191" s="29">
        <v>106</v>
      </c>
      <c r="B191" s="30">
        <v>1386</v>
      </c>
      <c r="C191" s="31" t="s">
        <v>131</v>
      </c>
      <c r="D191" s="29">
        <f>VLOOKUP(PhasesTable[[#This Row],[CIP '#]],ProjectsTable[[CIP '#]:[Project Classification 3]],5,FALSE)</f>
        <v>211</v>
      </c>
      <c r="E191" s="29">
        <f>VLOOKUP(PhasesTable[[#This Row],[CIP '#]],ProjectsTable[[CIP '#]:[Project Classification 3]],6,FALSE)</f>
        <v>211009</v>
      </c>
      <c r="F191" s="32" t="s">
        <v>119</v>
      </c>
      <c r="G191" s="23" t="str">
        <f>VLOOKUP(PhasesTable[[#This Row],[CIP '#]],ProjectsTable[[CIP '#]:[Project Classification 3]],8,FALSE)</f>
        <v>Wastewater</v>
      </c>
      <c r="H191" s="24" t="str">
        <f>VLOOKUP(PhasesTable[[#This Row],[CIP '#]],ProjectsTable[[CIP '#]:[Project Classification 3]],9,FALSE)</f>
        <v>WRRF</v>
      </c>
      <c r="I191" s="32" t="str">
        <f>VLOOKUP(PhasesTable[[#This Row],[CIP '#]],ProjectsTable[[CIP '#]:[Project Classification 3]],10,FALSE)</f>
        <v>Primary Treatment</v>
      </c>
      <c r="J191" s="32" t="s">
        <v>215</v>
      </c>
      <c r="K191" s="34" t="s">
        <v>27</v>
      </c>
      <c r="L191" s="32" t="s">
        <v>226</v>
      </c>
      <c r="M191" s="35" t="s">
        <v>27</v>
      </c>
      <c r="N191" s="35" t="s">
        <v>27</v>
      </c>
      <c r="O191" s="123">
        <v>0</v>
      </c>
      <c r="P191" s="123">
        <v>0</v>
      </c>
      <c r="Q191" s="124">
        <v>266</v>
      </c>
      <c r="R191" s="125">
        <v>324</v>
      </c>
      <c r="S191" s="125">
        <v>370</v>
      </c>
      <c r="T191" s="125">
        <v>171</v>
      </c>
      <c r="U191" s="126">
        <v>170</v>
      </c>
      <c r="V191" s="123">
        <v>179</v>
      </c>
      <c r="W191" s="127">
        <f>SUM(Q191:U191)</f>
        <v>1301</v>
      </c>
      <c r="X191" s="128">
        <f>SUM(O191:V191)</f>
        <v>1480</v>
      </c>
      <c r="Y191" s="26" t="s">
        <v>338</v>
      </c>
      <c r="Z191" s="36" t="s">
        <v>288</v>
      </c>
      <c r="AA191" s="28" t="s">
        <v>335</v>
      </c>
    </row>
    <row r="192" spans="1:27" s="43" customFormat="1" ht="30" customHeight="1" x14ac:dyDescent="0.45">
      <c r="A192" s="29">
        <v>105</v>
      </c>
      <c r="B192" s="30">
        <v>1386</v>
      </c>
      <c r="C192" s="31" t="s">
        <v>131</v>
      </c>
      <c r="D192" s="29">
        <f>VLOOKUP(PhasesTable[[#This Row],[CIP '#]],ProjectsTable[[CIP '#]:[Project Classification 3]],5,FALSE)</f>
        <v>211</v>
      </c>
      <c r="E192" s="29">
        <f>VLOOKUP(PhasesTable[[#This Row],[CIP '#]],ProjectsTable[[CIP '#]:[Project Classification 3]],6,FALSE)</f>
        <v>211009</v>
      </c>
      <c r="F192" s="32" t="s">
        <v>119</v>
      </c>
      <c r="G192" s="23" t="str">
        <f>VLOOKUP(PhasesTable[[#This Row],[CIP '#]],ProjectsTable[[CIP '#]:[Project Classification 3]],8,FALSE)</f>
        <v>Wastewater</v>
      </c>
      <c r="H192" s="24" t="str">
        <f>VLOOKUP(PhasesTable[[#This Row],[CIP '#]],ProjectsTable[[CIP '#]:[Project Classification 3]],9,FALSE)</f>
        <v>WRRF</v>
      </c>
      <c r="I192" s="32" t="str">
        <f>VLOOKUP(PhasesTable[[#This Row],[CIP '#]],ProjectsTable[[CIP '#]:[Project Classification 3]],10,FALSE)</f>
        <v>Primary Treatment</v>
      </c>
      <c r="J192" s="32" t="s">
        <v>201</v>
      </c>
      <c r="K192" s="34" t="s">
        <v>27</v>
      </c>
      <c r="L192" s="32" t="s">
        <v>226</v>
      </c>
      <c r="M192" s="35" t="s">
        <v>27</v>
      </c>
      <c r="N192" s="35" t="s">
        <v>27</v>
      </c>
      <c r="O192" s="123">
        <v>0</v>
      </c>
      <c r="P192" s="123">
        <v>0</v>
      </c>
      <c r="Q192" s="124">
        <v>0</v>
      </c>
      <c r="R192" s="125">
        <v>0</v>
      </c>
      <c r="S192" s="125">
        <v>1500</v>
      </c>
      <c r="T192" s="125">
        <v>2500</v>
      </c>
      <c r="U192" s="126">
        <v>2500</v>
      </c>
      <c r="V192" s="123">
        <v>2500</v>
      </c>
      <c r="W192" s="127">
        <f>SUM(Q192:U192)</f>
        <v>6500</v>
      </c>
      <c r="X192" s="128">
        <f>SUM(O192:V192)</f>
        <v>9000</v>
      </c>
      <c r="Y192" s="26" t="s">
        <v>338</v>
      </c>
      <c r="Z192" s="36" t="s">
        <v>288</v>
      </c>
      <c r="AA192" s="28" t="s">
        <v>335</v>
      </c>
    </row>
    <row r="193" spans="1:28" s="18" customFormat="1" ht="30" customHeight="1" x14ac:dyDescent="0.45">
      <c r="A193" s="29">
        <v>188</v>
      </c>
      <c r="B193" s="30">
        <v>1387</v>
      </c>
      <c r="C193" s="31" t="s">
        <v>178</v>
      </c>
      <c r="D193" s="29">
        <f>VLOOKUP(PhasesTable[[#This Row],[CIP '#]],ProjectsTable[[CIP '#]:[Project Classification 3]],5,FALSE)</f>
        <v>331</v>
      </c>
      <c r="E193" s="29">
        <f>VLOOKUP(PhasesTable[[#This Row],[CIP '#]],ProjectsTable[[CIP '#]:[Project Classification 3]],6,FALSE)</f>
        <v>331002</v>
      </c>
      <c r="F193" s="32" t="s">
        <v>119</v>
      </c>
      <c r="G193" s="23" t="str">
        <f>VLOOKUP(PhasesTable[[#This Row],[CIP '#]],ProjectsTable[[CIP '#]:[Project Classification 3]],8,FALSE)</f>
        <v>Centralized Services</v>
      </c>
      <c r="H193" s="24" t="str">
        <f>VLOOKUP(PhasesTable[[#This Row],[CIP '#]],ProjectsTable[[CIP '#]:[Project Classification 3]],9,FALSE)</f>
        <v>Facilities</v>
      </c>
      <c r="I193" s="32" t="str">
        <f>VLOOKUP(PhasesTable[[#This Row],[CIP '#]],ProjectsTable[[CIP '#]:[Project Classification 3]],10,FALSE)</f>
        <v>General Purpose</v>
      </c>
      <c r="J193" s="32" t="s">
        <v>201</v>
      </c>
      <c r="K193" s="34" t="s">
        <v>27</v>
      </c>
      <c r="L193" s="32" t="s">
        <v>226</v>
      </c>
      <c r="M193" s="35" t="s">
        <v>27</v>
      </c>
      <c r="N193" s="35" t="s">
        <v>27</v>
      </c>
      <c r="O193" s="123">
        <v>0</v>
      </c>
      <c r="P193" s="123">
        <v>0</v>
      </c>
      <c r="Q193" s="124">
        <v>2000</v>
      </c>
      <c r="R193" s="125">
        <v>2000</v>
      </c>
      <c r="S193" s="125">
        <v>1000</v>
      </c>
      <c r="T193" s="125">
        <v>1000</v>
      </c>
      <c r="U193" s="126">
        <v>500</v>
      </c>
      <c r="V193" s="123">
        <v>2000</v>
      </c>
      <c r="W193" s="127">
        <f>SUM(Q193:U193)</f>
        <v>6500</v>
      </c>
      <c r="X193" s="128">
        <f>SUM(O193:V193)</f>
        <v>8500</v>
      </c>
      <c r="Y193" s="26" t="s">
        <v>338</v>
      </c>
      <c r="Z193" s="36" t="s">
        <v>288</v>
      </c>
      <c r="AA193" s="28" t="s">
        <v>335</v>
      </c>
    </row>
    <row r="194" spans="1:28" s="43" customFormat="1" ht="30" customHeight="1" x14ac:dyDescent="0.45">
      <c r="A194" s="29">
        <v>189</v>
      </c>
      <c r="B194" s="30">
        <v>1387</v>
      </c>
      <c r="C194" s="31" t="s">
        <v>178</v>
      </c>
      <c r="D194" s="29">
        <f>VLOOKUP(PhasesTable[[#This Row],[CIP '#]],ProjectsTable[[CIP '#]:[Project Classification 3]],5,FALSE)</f>
        <v>331</v>
      </c>
      <c r="E194" s="29">
        <f>VLOOKUP(PhasesTable[[#This Row],[CIP '#]],ProjectsTable[[CIP '#]:[Project Classification 3]],6,FALSE)</f>
        <v>331002</v>
      </c>
      <c r="F194" s="32" t="s">
        <v>119</v>
      </c>
      <c r="G194" s="23" t="str">
        <f>VLOOKUP(PhasesTable[[#This Row],[CIP '#]],ProjectsTable[[CIP '#]:[Project Classification 3]],8,FALSE)</f>
        <v>Centralized Services</v>
      </c>
      <c r="H194" s="24" t="str">
        <f>VLOOKUP(PhasesTable[[#This Row],[CIP '#]],ProjectsTable[[CIP '#]:[Project Classification 3]],9,FALSE)</f>
        <v>Facilities</v>
      </c>
      <c r="I194" s="32" t="str">
        <f>VLOOKUP(PhasesTable[[#This Row],[CIP '#]],ProjectsTable[[CIP '#]:[Project Classification 3]],10,FALSE)</f>
        <v>General Purpose</v>
      </c>
      <c r="J194" s="32" t="s">
        <v>215</v>
      </c>
      <c r="K194" s="34" t="s">
        <v>27</v>
      </c>
      <c r="L194" s="32" t="s">
        <v>226</v>
      </c>
      <c r="M194" s="35" t="s">
        <v>27</v>
      </c>
      <c r="N194" s="35" t="s">
        <v>27</v>
      </c>
      <c r="O194" s="123">
        <v>0</v>
      </c>
      <c r="P194" s="123">
        <v>0</v>
      </c>
      <c r="Q194" s="124">
        <v>200</v>
      </c>
      <c r="R194" s="125">
        <v>60</v>
      </c>
      <c r="S194" s="125">
        <v>60</v>
      </c>
      <c r="T194" s="125">
        <v>50</v>
      </c>
      <c r="U194" s="126">
        <v>40</v>
      </c>
      <c r="V194" s="123">
        <v>140</v>
      </c>
      <c r="W194" s="127">
        <f>SUM(Q194:U194)</f>
        <v>410</v>
      </c>
      <c r="X194" s="128">
        <f>SUM(O194:V194)</f>
        <v>550</v>
      </c>
      <c r="Y194" s="26" t="s">
        <v>338</v>
      </c>
      <c r="Z194" s="36" t="s">
        <v>288</v>
      </c>
      <c r="AA194" s="28" t="s">
        <v>335</v>
      </c>
    </row>
    <row r="195" spans="1:28" s="43" customFormat="1" ht="30" customHeight="1" x14ac:dyDescent="0.45">
      <c r="A195" s="29">
        <v>185</v>
      </c>
      <c r="B195" s="30">
        <v>1388</v>
      </c>
      <c r="C195" s="31" t="s">
        <v>175</v>
      </c>
      <c r="D195" s="29">
        <f>VLOOKUP(PhasesTable[[#This Row],[CIP '#]],ProjectsTable[[CIP '#]:[Project Classification 3]],5,FALSE)</f>
        <v>251</v>
      </c>
      <c r="E195" s="29">
        <f>VLOOKUP(PhasesTable[[#This Row],[CIP '#]],ProjectsTable[[CIP '#]:[Project Classification 3]],6,FALSE)</f>
        <v>251002</v>
      </c>
      <c r="F195" s="32" t="s">
        <v>119</v>
      </c>
      <c r="G195" s="23" t="str">
        <f>VLOOKUP(PhasesTable[[#This Row],[CIP '#]],ProjectsTable[[CIP '#]:[Project Classification 3]],8,FALSE)</f>
        <v>Wastewater</v>
      </c>
      <c r="H195" s="24" t="str">
        <f>VLOOKUP(PhasesTable[[#This Row],[CIP '#]],ProjectsTable[[CIP '#]:[Project Classification 3]],9,FALSE)</f>
        <v>General Purpose</v>
      </c>
      <c r="I195" s="32" t="str">
        <f>VLOOKUP(PhasesTable[[#This Row],[CIP '#]],ProjectsTable[[CIP '#]:[Project Classification 3]],10,FALSE)</f>
        <v>General Purpose</v>
      </c>
      <c r="J195" s="32" t="s">
        <v>201</v>
      </c>
      <c r="K195" s="34" t="s">
        <v>27</v>
      </c>
      <c r="L195" s="32" t="s">
        <v>226</v>
      </c>
      <c r="M195" s="35" t="s">
        <v>27</v>
      </c>
      <c r="N195" s="35" t="s">
        <v>27</v>
      </c>
      <c r="O195" s="123">
        <v>0</v>
      </c>
      <c r="P195" s="123">
        <v>0</v>
      </c>
      <c r="Q195" s="124">
        <v>0</v>
      </c>
      <c r="R195" s="125">
        <v>0</v>
      </c>
      <c r="S195" s="125">
        <v>0</v>
      </c>
      <c r="T195" s="125">
        <v>2800</v>
      </c>
      <c r="U195" s="126">
        <v>2563</v>
      </c>
      <c r="V195" s="123">
        <v>0</v>
      </c>
      <c r="W195" s="127">
        <f>SUM(Q195:U195)</f>
        <v>5363</v>
      </c>
      <c r="X195" s="128">
        <f>SUM(O195:V195)</f>
        <v>5363</v>
      </c>
      <c r="Y195" s="26" t="s">
        <v>338</v>
      </c>
      <c r="Z195" s="36" t="s">
        <v>288</v>
      </c>
      <c r="AA195" s="28" t="s">
        <v>335</v>
      </c>
    </row>
    <row r="196" spans="1:28" s="43" customFormat="1" ht="30" customHeight="1" x14ac:dyDescent="0.45">
      <c r="A196" s="29">
        <v>186</v>
      </c>
      <c r="B196" s="30">
        <v>1388</v>
      </c>
      <c r="C196" s="31" t="s">
        <v>175</v>
      </c>
      <c r="D196" s="29">
        <f>VLOOKUP(PhasesTable[[#This Row],[CIP '#]],ProjectsTable[[CIP '#]:[Project Classification 3]],5,FALSE)</f>
        <v>251</v>
      </c>
      <c r="E196" s="29">
        <f>VLOOKUP(PhasesTable[[#This Row],[CIP '#]],ProjectsTable[[CIP '#]:[Project Classification 3]],6,FALSE)</f>
        <v>251002</v>
      </c>
      <c r="F196" s="32" t="s">
        <v>119</v>
      </c>
      <c r="G196" s="23" t="str">
        <f>VLOOKUP(PhasesTable[[#This Row],[CIP '#]],ProjectsTable[[CIP '#]:[Project Classification 3]],8,FALSE)</f>
        <v>Wastewater</v>
      </c>
      <c r="H196" s="24" t="str">
        <f>VLOOKUP(PhasesTable[[#This Row],[CIP '#]],ProjectsTable[[CIP '#]:[Project Classification 3]],9,FALSE)</f>
        <v>General Purpose</v>
      </c>
      <c r="I196" s="32" t="str">
        <f>VLOOKUP(PhasesTable[[#This Row],[CIP '#]],ProjectsTable[[CIP '#]:[Project Classification 3]],10,FALSE)</f>
        <v>General Purpose</v>
      </c>
      <c r="J196" s="32" t="s">
        <v>215</v>
      </c>
      <c r="K196" s="34" t="s">
        <v>27</v>
      </c>
      <c r="L196" s="32" t="s">
        <v>226</v>
      </c>
      <c r="M196" s="35" t="s">
        <v>27</v>
      </c>
      <c r="N196" s="35" t="s">
        <v>27</v>
      </c>
      <c r="O196" s="123">
        <v>0</v>
      </c>
      <c r="P196" s="123">
        <v>0</v>
      </c>
      <c r="Q196" s="124">
        <v>0</v>
      </c>
      <c r="R196" s="125">
        <v>0</v>
      </c>
      <c r="S196" s="125">
        <v>0</v>
      </c>
      <c r="T196" s="125">
        <v>325</v>
      </c>
      <c r="U196" s="126">
        <v>174</v>
      </c>
      <c r="V196" s="123">
        <v>0</v>
      </c>
      <c r="W196" s="127">
        <f>SUM(Q196:U196)</f>
        <v>499</v>
      </c>
      <c r="X196" s="128">
        <f>SUM(O196:V196)</f>
        <v>499</v>
      </c>
      <c r="Y196" s="26" t="s">
        <v>338</v>
      </c>
      <c r="Z196" s="36" t="s">
        <v>288</v>
      </c>
      <c r="AA196" s="28" t="s">
        <v>335</v>
      </c>
    </row>
    <row r="197" spans="1:28" s="19" customFormat="1" ht="30" customHeight="1" x14ac:dyDescent="0.45">
      <c r="A197" s="37">
        <v>31</v>
      </c>
      <c r="B197" s="38">
        <v>1389</v>
      </c>
      <c r="C197" s="39" t="s">
        <v>61</v>
      </c>
      <c r="D197" s="37">
        <f>VLOOKUP(PhasesTable[[#This Row],[CIP '#]],ProjectsTable[[CIP '#]:[Project Classification 3]],5,FALSE)</f>
        <v>114</v>
      </c>
      <c r="E197" s="37">
        <f>VLOOKUP(PhasesTable[[#This Row],[CIP '#]],ProjectsTable[[CIP '#]:[Project Classification 3]],6,FALSE)</f>
        <v>114013</v>
      </c>
      <c r="F197" s="40" t="s">
        <v>24</v>
      </c>
      <c r="G197" s="13" t="str">
        <f>VLOOKUP(PhasesTable[[#This Row],[CIP '#]],ProjectsTable[[CIP '#]:[Project Classification 3]],8,FALSE)</f>
        <v>Water</v>
      </c>
      <c r="H197" s="12" t="str">
        <f>VLOOKUP(PhasesTable[[#This Row],[CIP '#]],ProjectsTable[[CIP '#]:[Project Classification 3]],9,FALSE)</f>
        <v>Treatment Plants &amp; Facilities</v>
      </c>
      <c r="I197" s="40" t="str">
        <f>VLOOKUP(PhasesTable[[#This Row],[CIP '#]],ProjectsTable[[CIP '#]:[Project Classification 3]],10,FALSE)</f>
        <v>Springwells</v>
      </c>
      <c r="J197" s="41" t="s">
        <v>201</v>
      </c>
      <c r="K197" s="40" t="s">
        <v>27</v>
      </c>
      <c r="L197" s="41" t="s">
        <v>200</v>
      </c>
      <c r="M197" s="42" t="s">
        <v>27</v>
      </c>
      <c r="N197" s="42" t="s">
        <v>27</v>
      </c>
      <c r="O197" s="129">
        <v>0</v>
      </c>
      <c r="P197" s="130">
        <v>0</v>
      </c>
      <c r="Q197" s="131">
        <v>3200</v>
      </c>
      <c r="R197" s="132">
        <v>4000</v>
      </c>
      <c r="S197" s="132">
        <v>0</v>
      </c>
      <c r="T197" s="132">
        <v>0</v>
      </c>
      <c r="U197" s="133">
        <v>0</v>
      </c>
      <c r="V197" s="130">
        <v>0</v>
      </c>
      <c r="W197" s="134">
        <f>SUM(Q197:U197)</f>
        <v>7200</v>
      </c>
      <c r="X197" s="135">
        <f>SUM(O197:V197)</f>
        <v>7200</v>
      </c>
      <c r="Y197" s="15" t="s">
        <v>338</v>
      </c>
      <c r="Z197" s="16" t="s">
        <v>288</v>
      </c>
      <c r="AA197" s="17" t="s">
        <v>335</v>
      </c>
      <c r="AB197" s="18"/>
    </row>
    <row r="198" spans="1:28" s="44" customFormat="1" ht="30" customHeight="1" x14ac:dyDescent="0.45">
      <c r="A198" s="37">
        <v>32</v>
      </c>
      <c r="B198" s="38">
        <v>1389</v>
      </c>
      <c r="C198" s="39" t="s">
        <v>61</v>
      </c>
      <c r="D198" s="37">
        <f>VLOOKUP(PhasesTable[[#This Row],[CIP '#]],ProjectsTable[[CIP '#]:[Project Classification 3]],5,FALSE)</f>
        <v>114</v>
      </c>
      <c r="E198" s="37">
        <f>VLOOKUP(PhasesTable[[#This Row],[CIP '#]],ProjectsTable[[CIP '#]:[Project Classification 3]],6,FALSE)</f>
        <v>114013</v>
      </c>
      <c r="F198" s="40" t="s">
        <v>24</v>
      </c>
      <c r="G198" s="13" t="str">
        <f>VLOOKUP(PhasesTable[[#This Row],[CIP '#]],ProjectsTable[[CIP '#]:[Project Classification 3]],8,FALSE)</f>
        <v>Water</v>
      </c>
      <c r="H198" s="12" t="str">
        <f>VLOOKUP(PhasesTable[[#This Row],[CIP '#]],ProjectsTable[[CIP '#]:[Project Classification 3]],9,FALSE)</f>
        <v>Treatment Plants &amp; Facilities</v>
      </c>
      <c r="I198" s="40" t="str">
        <f>VLOOKUP(PhasesTable[[#This Row],[CIP '#]],ProjectsTable[[CIP '#]:[Project Classification 3]],10,FALSE)</f>
        <v>Springwells</v>
      </c>
      <c r="J198" s="41" t="s">
        <v>202</v>
      </c>
      <c r="K198" s="40" t="s">
        <v>221</v>
      </c>
      <c r="L198" s="41" t="s">
        <v>222</v>
      </c>
      <c r="M198" s="42" t="s">
        <v>30</v>
      </c>
      <c r="N198" s="42" t="s">
        <v>30</v>
      </c>
      <c r="O198" s="129">
        <v>0</v>
      </c>
      <c r="P198" s="141">
        <v>200</v>
      </c>
      <c r="Q198" s="142">
        <v>100</v>
      </c>
      <c r="R198" s="132">
        <v>0</v>
      </c>
      <c r="S198" s="132">
        <v>0</v>
      </c>
      <c r="T198" s="132">
        <v>0</v>
      </c>
      <c r="U198" s="133">
        <v>0</v>
      </c>
      <c r="V198" s="130">
        <v>0</v>
      </c>
      <c r="W198" s="134">
        <f>SUM(Q198:U198)</f>
        <v>100</v>
      </c>
      <c r="X198" s="135">
        <f>SUM(O198:V198)</f>
        <v>300</v>
      </c>
      <c r="Y198" s="15" t="s">
        <v>338</v>
      </c>
      <c r="Z198" s="16" t="s">
        <v>288</v>
      </c>
      <c r="AA198" s="17" t="s">
        <v>335</v>
      </c>
      <c r="AB198" s="43"/>
    </row>
    <row r="199" spans="1:28" s="43" customFormat="1" ht="30" customHeight="1" x14ac:dyDescent="0.45">
      <c r="A199" s="29">
        <v>177</v>
      </c>
      <c r="B199" s="30">
        <v>1391</v>
      </c>
      <c r="C199" s="31" t="s">
        <v>170</v>
      </c>
      <c r="D199" s="29">
        <f>VLOOKUP(PhasesTable[[#This Row],[CIP '#]],ProjectsTable[[CIP '#]:[Project Classification 3]],5,FALSE)</f>
        <v>233</v>
      </c>
      <c r="E199" s="29">
        <f>VLOOKUP(PhasesTable[[#This Row],[CIP '#]],ProjectsTable[[CIP '#]:[Project Classification 3]],6,FALSE)</f>
        <v>233002</v>
      </c>
      <c r="F199" s="32" t="s">
        <v>119</v>
      </c>
      <c r="G199" s="23" t="str">
        <f>VLOOKUP(PhasesTable[[#This Row],[CIP '#]],ProjectsTable[[CIP '#]:[Project Classification 3]],8,FALSE)</f>
        <v>Wastewater</v>
      </c>
      <c r="H199" s="24" t="str">
        <f>VLOOKUP(PhasesTable[[#This Row],[CIP '#]],ProjectsTable[[CIP '#]:[Project Classification 3]],9,FALSE)</f>
        <v>SCC</v>
      </c>
      <c r="I199" s="32" t="str">
        <f>VLOOKUP(PhasesTable[[#This Row],[CIP '#]],ProjectsTable[[CIP '#]:[Project Classification 3]],10,FALSE)</f>
        <v>In System Devices</v>
      </c>
      <c r="J199" s="32" t="s">
        <v>204</v>
      </c>
      <c r="K199" s="34" t="s">
        <v>27</v>
      </c>
      <c r="L199" s="32" t="s">
        <v>226</v>
      </c>
      <c r="M199" s="35" t="s">
        <v>27</v>
      </c>
      <c r="N199" s="35" t="s">
        <v>27</v>
      </c>
      <c r="O199" s="123">
        <v>0</v>
      </c>
      <c r="P199" s="123">
        <v>0</v>
      </c>
      <c r="Q199" s="124">
        <v>86</v>
      </c>
      <c r="R199" s="125">
        <v>0</v>
      </c>
      <c r="S199" s="125">
        <v>0</v>
      </c>
      <c r="T199" s="125">
        <v>0</v>
      </c>
      <c r="U199" s="126">
        <v>0</v>
      </c>
      <c r="V199" s="123">
        <v>0</v>
      </c>
      <c r="W199" s="127">
        <f>SUM(Q199:U199)</f>
        <v>86</v>
      </c>
      <c r="X199" s="128">
        <f>SUM(O199:V199)</f>
        <v>86</v>
      </c>
      <c r="Y199" s="26" t="s">
        <v>338</v>
      </c>
      <c r="Z199" s="36" t="s">
        <v>287</v>
      </c>
      <c r="AA199" s="28" t="s">
        <v>335</v>
      </c>
    </row>
    <row r="200" spans="1:28" s="43" customFormat="1" ht="30" customHeight="1" x14ac:dyDescent="0.45">
      <c r="A200" s="29">
        <v>175</v>
      </c>
      <c r="B200" s="30">
        <v>1391</v>
      </c>
      <c r="C200" s="31" t="s">
        <v>170</v>
      </c>
      <c r="D200" s="29">
        <f>VLOOKUP(PhasesTable[[#This Row],[CIP '#]],ProjectsTable[[CIP '#]:[Project Classification 3]],5,FALSE)</f>
        <v>233</v>
      </c>
      <c r="E200" s="29">
        <f>VLOOKUP(PhasesTable[[#This Row],[CIP '#]],ProjectsTable[[CIP '#]:[Project Classification 3]],6,FALSE)</f>
        <v>233002</v>
      </c>
      <c r="F200" s="32" t="s">
        <v>119</v>
      </c>
      <c r="G200" s="23" t="str">
        <f>VLOOKUP(PhasesTable[[#This Row],[CIP '#]],ProjectsTable[[CIP '#]:[Project Classification 3]],8,FALSE)</f>
        <v>Wastewater</v>
      </c>
      <c r="H200" s="24" t="str">
        <f>VLOOKUP(PhasesTable[[#This Row],[CIP '#]],ProjectsTable[[CIP '#]:[Project Classification 3]],9,FALSE)</f>
        <v>SCC</v>
      </c>
      <c r="I200" s="32" t="str">
        <f>VLOOKUP(PhasesTable[[#This Row],[CIP '#]],ProjectsTable[[CIP '#]:[Project Classification 3]],10,FALSE)</f>
        <v>In System Devices</v>
      </c>
      <c r="J200" s="32" t="s">
        <v>201</v>
      </c>
      <c r="K200" s="34" t="s">
        <v>27</v>
      </c>
      <c r="L200" s="32" t="s">
        <v>226</v>
      </c>
      <c r="M200" s="35" t="s">
        <v>27</v>
      </c>
      <c r="N200" s="35" t="s">
        <v>27</v>
      </c>
      <c r="O200" s="123">
        <v>0</v>
      </c>
      <c r="P200" s="123">
        <v>0</v>
      </c>
      <c r="Q200" s="124">
        <v>0</v>
      </c>
      <c r="R200" s="125">
        <v>321</v>
      </c>
      <c r="S200" s="125">
        <v>2000</v>
      </c>
      <c r="T200" s="125">
        <v>1000</v>
      </c>
      <c r="U200" s="126">
        <v>0</v>
      </c>
      <c r="V200" s="123">
        <v>0</v>
      </c>
      <c r="W200" s="127">
        <f>SUM(Q200:U200)</f>
        <v>3321</v>
      </c>
      <c r="X200" s="128">
        <f>SUM(O200:V200)</f>
        <v>3321</v>
      </c>
      <c r="Y200" s="26" t="s">
        <v>338</v>
      </c>
      <c r="Z200" s="36" t="s">
        <v>288</v>
      </c>
      <c r="AA200" s="28" t="s">
        <v>335</v>
      </c>
    </row>
    <row r="201" spans="1:28" s="18" customFormat="1" ht="30" customHeight="1" x14ac:dyDescent="0.45">
      <c r="A201" s="29">
        <v>176</v>
      </c>
      <c r="B201" s="30">
        <v>1391</v>
      </c>
      <c r="C201" s="31" t="s">
        <v>170</v>
      </c>
      <c r="D201" s="29">
        <f>VLOOKUP(PhasesTable[[#This Row],[CIP '#]],ProjectsTable[[CIP '#]:[Project Classification 3]],5,FALSE)</f>
        <v>233</v>
      </c>
      <c r="E201" s="29">
        <f>VLOOKUP(PhasesTable[[#This Row],[CIP '#]],ProjectsTable[[CIP '#]:[Project Classification 3]],6,FALSE)</f>
        <v>233002</v>
      </c>
      <c r="F201" s="32" t="s">
        <v>119</v>
      </c>
      <c r="G201" s="23" t="str">
        <f>VLOOKUP(PhasesTable[[#This Row],[CIP '#]],ProjectsTable[[CIP '#]:[Project Classification 3]],8,FALSE)</f>
        <v>Wastewater</v>
      </c>
      <c r="H201" s="24" t="str">
        <f>VLOOKUP(PhasesTable[[#This Row],[CIP '#]],ProjectsTable[[CIP '#]:[Project Classification 3]],9,FALSE)</f>
        <v>SCC</v>
      </c>
      <c r="I201" s="32" t="str">
        <f>VLOOKUP(PhasesTable[[#This Row],[CIP '#]],ProjectsTable[[CIP '#]:[Project Classification 3]],10,FALSE)</f>
        <v>In System Devices</v>
      </c>
      <c r="J201" s="32" t="s">
        <v>206</v>
      </c>
      <c r="K201" s="34" t="s">
        <v>27</v>
      </c>
      <c r="L201" s="32" t="s">
        <v>226</v>
      </c>
      <c r="M201" s="35" t="s">
        <v>27</v>
      </c>
      <c r="N201" s="35" t="s">
        <v>27</v>
      </c>
      <c r="O201" s="123">
        <v>0</v>
      </c>
      <c r="P201" s="123">
        <v>0</v>
      </c>
      <c r="Q201" s="124">
        <v>0</v>
      </c>
      <c r="R201" s="125">
        <v>143</v>
      </c>
      <c r="S201" s="125">
        <v>0</v>
      </c>
      <c r="T201" s="125">
        <v>0</v>
      </c>
      <c r="U201" s="126">
        <v>0</v>
      </c>
      <c r="V201" s="123">
        <v>0</v>
      </c>
      <c r="W201" s="127">
        <f>SUM(Q201:U201)</f>
        <v>143</v>
      </c>
      <c r="X201" s="128">
        <f>SUM(O201:V201)</f>
        <v>143</v>
      </c>
      <c r="Y201" s="26" t="s">
        <v>338</v>
      </c>
      <c r="Z201" s="36" t="s">
        <v>288</v>
      </c>
      <c r="AA201" s="28" t="s">
        <v>335</v>
      </c>
    </row>
    <row r="202" spans="1:28" s="43" customFormat="1" ht="30" customHeight="1" x14ac:dyDescent="0.45">
      <c r="A202" s="29">
        <v>159</v>
      </c>
      <c r="B202" s="30">
        <v>1392</v>
      </c>
      <c r="C202" s="31" t="s">
        <v>162</v>
      </c>
      <c r="D202" s="29">
        <f>VLOOKUP(PhasesTable[[#This Row],[CIP '#]],ProjectsTable[[CIP '#]:[Project Classification 3]],5,FALSE)</f>
        <v>222</v>
      </c>
      <c r="E202" s="29">
        <f>VLOOKUP(PhasesTable[[#This Row],[CIP '#]],ProjectsTable[[CIP '#]:[Project Classification 3]],6,FALSE)</f>
        <v>222004</v>
      </c>
      <c r="F202" s="32" t="s">
        <v>119</v>
      </c>
      <c r="G202" s="23" t="str">
        <f>VLOOKUP(PhasesTable[[#This Row],[CIP '#]],ProjectsTable[[CIP '#]:[Project Classification 3]],8,FALSE)</f>
        <v>Wastewater</v>
      </c>
      <c r="H202" s="24" t="str">
        <f>VLOOKUP(PhasesTable[[#This Row],[CIP '#]],ProjectsTable[[CIP '#]:[Project Classification 3]],9,FALSE)</f>
        <v>Field Services</v>
      </c>
      <c r="I202" s="32" t="str">
        <f>VLOOKUP(PhasesTable[[#This Row],[CIP '#]],ProjectsTable[[CIP '#]:[Project Classification 3]],10,FALSE)</f>
        <v>Interceptors</v>
      </c>
      <c r="J202" s="32" t="s">
        <v>206</v>
      </c>
      <c r="K202" s="34" t="s">
        <v>27</v>
      </c>
      <c r="L202" s="32" t="s">
        <v>226</v>
      </c>
      <c r="M202" s="35" t="s">
        <v>27</v>
      </c>
      <c r="N202" s="35" t="s">
        <v>27</v>
      </c>
      <c r="O202" s="123">
        <v>0</v>
      </c>
      <c r="P202" s="123">
        <v>0</v>
      </c>
      <c r="Q202" s="124">
        <v>300</v>
      </c>
      <c r="R202" s="125">
        <v>0</v>
      </c>
      <c r="S202" s="125">
        <v>0</v>
      </c>
      <c r="T202" s="125">
        <v>0</v>
      </c>
      <c r="U202" s="126">
        <v>0</v>
      </c>
      <c r="V202" s="123">
        <v>0</v>
      </c>
      <c r="W202" s="127">
        <f>SUM(Q202:U202)</f>
        <v>300</v>
      </c>
      <c r="X202" s="128">
        <f>SUM(O202:V202)</f>
        <v>300</v>
      </c>
      <c r="Y202" s="26" t="s">
        <v>338</v>
      </c>
      <c r="Z202" s="36" t="s">
        <v>288</v>
      </c>
      <c r="AA202" s="28" t="s">
        <v>335</v>
      </c>
    </row>
    <row r="203" spans="1:28" s="43" customFormat="1" ht="30" customHeight="1" x14ac:dyDescent="0.45">
      <c r="A203" s="29">
        <v>160</v>
      </c>
      <c r="B203" s="30">
        <v>1392</v>
      </c>
      <c r="C203" s="31" t="s">
        <v>162</v>
      </c>
      <c r="D203" s="29">
        <f>VLOOKUP(PhasesTable[[#This Row],[CIP '#]],ProjectsTable[[CIP '#]:[Project Classification 3]],5,FALSE)</f>
        <v>222</v>
      </c>
      <c r="E203" s="29">
        <f>VLOOKUP(PhasesTable[[#This Row],[CIP '#]],ProjectsTable[[CIP '#]:[Project Classification 3]],6,FALSE)</f>
        <v>222004</v>
      </c>
      <c r="F203" s="32" t="s">
        <v>119</v>
      </c>
      <c r="G203" s="23" t="str">
        <f>VLOOKUP(PhasesTable[[#This Row],[CIP '#]],ProjectsTable[[CIP '#]:[Project Classification 3]],8,FALSE)</f>
        <v>Wastewater</v>
      </c>
      <c r="H203" s="24" t="str">
        <f>VLOOKUP(PhasesTable[[#This Row],[CIP '#]],ProjectsTable[[CIP '#]:[Project Classification 3]],9,FALSE)</f>
        <v>Field Services</v>
      </c>
      <c r="I203" s="32" t="str">
        <f>VLOOKUP(PhasesTable[[#This Row],[CIP '#]],ProjectsTable[[CIP '#]:[Project Classification 3]],10,FALSE)</f>
        <v>Interceptors</v>
      </c>
      <c r="J203" s="32" t="s">
        <v>204</v>
      </c>
      <c r="K203" s="34" t="s">
        <v>27</v>
      </c>
      <c r="L203" s="32" t="s">
        <v>226</v>
      </c>
      <c r="M203" s="35" t="s">
        <v>27</v>
      </c>
      <c r="N203" s="35" t="s">
        <v>27</v>
      </c>
      <c r="O203" s="123">
        <v>0</v>
      </c>
      <c r="P203" s="123">
        <v>0</v>
      </c>
      <c r="Q203" s="124">
        <v>41</v>
      </c>
      <c r="R203" s="125">
        <v>0</v>
      </c>
      <c r="S203" s="125">
        <v>0</v>
      </c>
      <c r="T203" s="125">
        <v>0</v>
      </c>
      <c r="U203" s="126">
        <v>0</v>
      </c>
      <c r="V203" s="123">
        <v>0</v>
      </c>
      <c r="W203" s="127">
        <f>SUM(Q203:U203)</f>
        <v>41</v>
      </c>
      <c r="X203" s="128">
        <f>SUM(O203:V203)</f>
        <v>41</v>
      </c>
      <c r="Y203" s="26" t="s">
        <v>338</v>
      </c>
      <c r="Z203" s="36" t="s">
        <v>287</v>
      </c>
      <c r="AA203" s="28" t="s">
        <v>335</v>
      </c>
    </row>
    <row r="204" spans="1:28" s="43" customFormat="1" ht="30" customHeight="1" x14ac:dyDescent="0.45">
      <c r="A204" s="29">
        <v>158</v>
      </c>
      <c r="B204" s="30">
        <v>1392</v>
      </c>
      <c r="C204" s="31" t="s">
        <v>162</v>
      </c>
      <c r="D204" s="29">
        <f>VLOOKUP(PhasesTable[[#This Row],[CIP '#]],ProjectsTable[[CIP '#]:[Project Classification 3]],5,FALSE)</f>
        <v>222</v>
      </c>
      <c r="E204" s="29">
        <f>VLOOKUP(PhasesTable[[#This Row],[CIP '#]],ProjectsTable[[CIP '#]:[Project Classification 3]],6,FALSE)</f>
        <v>222004</v>
      </c>
      <c r="F204" s="32" t="s">
        <v>119</v>
      </c>
      <c r="G204" s="23" t="str">
        <f>VLOOKUP(PhasesTable[[#This Row],[CIP '#]],ProjectsTable[[CIP '#]:[Project Classification 3]],8,FALSE)</f>
        <v>Wastewater</v>
      </c>
      <c r="H204" s="24" t="str">
        <f>VLOOKUP(PhasesTable[[#This Row],[CIP '#]],ProjectsTable[[CIP '#]:[Project Classification 3]],9,FALSE)</f>
        <v>Field Services</v>
      </c>
      <c r="I204" s="32" t="str">
        <f>VLOOKUP(PhasesTable[[#This Row],[CIP '#]],ProjectsTable[[CIP '#]:[Project Classification 3]],10,FALSE)</f>
        <v>Interceptors</v>
      </c>
      <c r="J204" s="32" t="s">
        <v>201</v>
      </c>
      <c r="K204" s="34" t="s">
        <v>27</v>
      </c>
      <c r="L204" s="32" t="s">
        <v>226</v>
      </c>
      <c r="M204" s="35" t="s">
        <v>27</v>
      </c>
      <c r="N204" s="35" t="s">
        <v>27</v>
      </c>
      <c r="O204" s="123">
        <v>0</v>
      </c>
      <c r="P204" s="123">
        <v>0</v>
      </c>
      <c r="Q204" s="124">
        <v>0</v>
      </c>
      <c r="R204" s="125">
        <v>1000</v>
      </c>
      <c r="S204" s="125">
        <v>1422</v>
      </c>
      <c r="T204" s="125">
        <v>0</v>
      </c>
      <c r="U204" s="126">
        <v>0</v>
      </c>
      <c r="V204" s="123">
        <v>0</v>
      </c>
      <c r="W204" s="127">
        <f>SUM(Q204:U204)</f>
        <v>2422</v>
      </c>
      <c r="X204" s="128">
        <f>SUM(O204:V204)</f>
        <v>2422</v>
      </c>
      <c r="Y204" s="26" t="s">
        <v>338</v>
      </c>
      <c r="Z204" s="36" t="s">
        <v>288</v>
      </c>
      <c r="AA204" s="28" t="s">
        <v>335</v>
      </c>
    </row>
    <row r="205" spans="1:28" s="43" customFormat="1" ht="30" customHeight="1" x14ac:dyDescent="0.45">
      <c r="A205" s="29">
        <v>161</v>
      </c>
      <c r="B205" s="30">
        <v>1393</v>
      </c>
      <c r="C205" s="31" t="s">
        <v>163</v>
      </c>
      <c r="D205" s="29">
        <f>VLOOKUP(PhasesTable[[#This Row],[CIP '#]],ProjectsTable[[CIP '#]:[Project Classification 3]],5,FALSE)</f>
        <v>222</v>
      </c>
      <c r="E205" s="29">
        <f>VLOOKUP(PhasesTable[[#This Row],[CIP '#]],ProjectsTable[[CIP '#]:[Project Classification 3]],6,FALSE)</f>
        <v>222005</v>
      </c>
      <c r="F205" s="32" t="s">
        <v>119</v>
      </c>
      <c r="G205" s="23" t="str">
        <f>VLOOKUP(PhasesTable[[#This Row],[CIP '#]],ProjectsTable[[CIP '#]:[Project Classification 3]],8,FALSE)</f>
        <v>Wastewater</v>
      </c>
      <c r="H205" s="24" t="str">
        <f>VLOOKUP(PhasesTable[[#This Row],[CIP '#]],ProjectsTable[[CIP '#]:[Project Classification 3]],9,FALSE)</f>
        <v>Field Services</v>
      </c>
      <c r="I205" s="32" t="str">
        <f>VLOOKUP(PhasesTable[[#This Row],[CIP '#]],ProjectsTable[[CIP '#]:[Project Classification 3]],10,FALSE)</f>
        <v>Interceptors</v>
      </c>
      <c r="J205" s="32" t="s">
        <v>201</v>
      </c>
      <c r="K205" s="34" t="s">
        <v>27</v>
      </c>
      <c r="L205" s="32" t="s">
        <v>226</v>
      </c>
      <c r="M205" s="35" t="s">
        <v>27</v>
      </c>
      <c r="N205" s="35" t="s">
        <v>27</v>
      </c>
      <c r="O205" s="123">
        <v>0</v>
      </c>
      <c r="P205" s="123">
        <v>0</v>
      </c>
      <c r="Q205" s="124">
        <v>2932</v>
      </c>
      <c r="R205" s="125">
        <v>2000</v>
      </c>
      <c r="S205" s="125">
        <v>2001</v>
      </c>
      <c r="T205" s="125">
        <v>0</v>
      </c>
      <c r="U205" s="126">
        <v>0</v>
      </c>
      <c r="V205" s="123">
        <v>0</v>
      </c>
      <c r="W205" s="127">
        <f>SUM(Q205:U205)</f>
        <v>6933</v>
      </c>
      <c r="X205" s="128">
        <f>SUM(O205:V205)</f>
        <v>6933</v>
      </c>
      <c r="Y205" s="26" t="s">
        <v>338</v>
      </c>
      <c r="Z205" s="36" t="s">
        <v>288</v>
      </c>
      <c r="AA205" s="28" t="s">
        <v>335</v>
      </c>
    </row>
    <row r="206" spans="1:28" s="18" customFormat="1" ht="30" customHeight="1" x14ac:dyDescent="0.45">
      <c r="A206" s="29">
        <v>162</v>
      </c>
      <c r="B206" s="30">
        <v>1393</v>
      </c>
      <c r="C206" s="31" t="s">
        <v>163</v>
      </c>
      <c r="D206" s="29">
        <f>VLOOKUP(PhasesTable[[#This Row],[CIP '#]],ProjectsTable[[CIP '#]:[Project Classification 3]],5,FALSE)</f>
        <v>222</v>
      </c>
      <c r="E206" s="29">
        <f>VLOOKUP(PhasesTable[[#This Row],[CIP '#]],ProjectsTable[[CIP '#]:[Project Classification 3]],6,FALSE)</f>
        <v>222005</v>
      </c>
      <c r="F206" s="32" t="s">
        <v>119</v>
      </c>
      <c r="G206" s="23" t="str">
        <f>VLOOKUP(PhasesTable[[#This Row],[CIP '#]],ProjectsTable[[CIP '#]:[Project Classification 3]],8,FALSE)</f>
        <v>Wastewater</v>
      </c>
      <c r="H206" s="24" t="str">
        <f>VLOOKUP(PhasesTable[[#This Row],[CIP '#]],ProjectsTable[[CIP '#]:[Project Classification 3]],9,FALSE)</f>
        <v>Field Services</v>
      </c>
      <c r="I206" s="32" t="str">
        <f>VLOOKUP(PhasesTable[[#This Row],[CIP '#]],ProjectsTable[[CIP '#]:[Project Classification 3]],10,FALSE)</f>
        <v>Interceptors</v>
      </c>
      <c r="J206" s="32" t="s">
        <v>206</v>
      </c>
      <c r="K206" s="34" t="s">
        <v>27</v>
      </c>
      <c r="L206" s="32" t="s">
        <v>226</v>
      </c>
      <c r="M206" s="35" t="s">
        <v>27</v>
      </c>
      <c r="N206" s="35" t="s">
        <v>27</v>
      </c>
      <c r="O206" s="123">
        <v>0</v>
      </c>
      <c r="P206" s="123">
        <v>0</v>
      </c>
      <c r="Q206" s="124">
        <v>198</v>
      </c>
      <c r="R206" s="125">
        <v>0</v>
      </c>
      <c r="S206" s="125">
        <v>0</v>
      </c>
      <c r="T206" s="125">
        <v>0</v>
      </c>
      <c r="U206" s="126">
        <v>0</v>
      </c>
      <c r="V206" s="123">
        <v>0</v>
      </c>
      <c r="W206" s="127">
        <f>SUM(Q206:U206)</f>
        <v>198</v>
      </c>
      <c r="X206" s="128">
        <f>SUM(O206:V206)</f>
        <v>198</v>
      </c>
      <c r="Y206" s="26" t="s">
        <v>338</v>
      </c>
      <c r="Z206" s="36" t="s">
        <v>288</v>
      </c>
      <c r="AA206" s="28" t="s">
        <v>335</v>
      </c>
    </row>
    <row r="207" spans="1:28" s="18" customFormat="1" ht="30" customHeight="1" x14ac:dyDescent="0.45">
      <c r="A207" s="29">
        <v>163</v>
      </c>
      <c r="B207" s="30">
        <v>1393</v>
      </c>
      <c r="C207" s="31" t="s">
        <v>163</v>
      </c>
      <c r="D207" s="29">
        <f>VLOOKUP(PhasesTable[[#This Row],[CIP '#]],ProjectsTable[[CIP '#]:[Project Classification 3]],5,FALSE)</f>
        <v>222</v>
      </c>
      <c r="E207" s="29">
        <f>VLOOKUP(PhasesTable[[#This Row],[CIP '#]],ProjectsTable[[CIP '#]:[Project Classification 3]],6,FALSE)</f>
        <v>222005</v>
      </c>
      <c r="F207" s="32" t="s">
        <v>119</v>
      </c>
      <c r="G207" s="23" t="str">
        <f>VLOOKUP(PhasesTable[[#This Row],[CIP '#]],ProjectsTable[[CIP '#]:[Project Classification 3]],8,FALSE)</f>
        <v>Wastewater</v>
      </c>
      <c r="H207" s="24" t="str">
        <f>VLOOKUP(PhasesTable[[#This Row],[CIP '#]],ProjectsTable[[CIP '#]:[Project Classification 3]],9,FALSE)</f>
        <v>Field Services</v>
      </c>
      <c r="I207" s="32" t="str">
        <f>VLOOKUP(PhasesTable[[#This Row],[CIP '#]],ProjectsTable[[CIP '#]:[Project Classification 3]],10,FALSE)</f>
        <v>Interceptors</v>
      </c>
      <c r="J207" s="32" t="s">
        <v>204</v>
      </c>
      <c r="K207" s="34" t="s">
        <v>27</v>
      </c>
      <c r="L207" s="32" t="s">
        <v>226</v>
      </c>
      <c r="M207" s="35" t="s">
        <v>27</v>
      </c>
      <c r="N207" s="35" t="s">
        <v>27</v>
      </c>
      <c r="O207" s="123">
        <v>0</v>
      </c>
      <c r="P207" s="123">
        <v>0</v>
      </c>
      <c r="Q207" s="124">
        <v>66</v>
      </c>
      <c r="R207" s="125">
        <v>0</v>
      </c>
      <c r="S207" s="125">
        <v>0</v>
      </c>
      <c r="T207" s="125">
        <v>0</v>
      </c>
      <c r="U207" s="126">
        <v>0</v>
      </c>
      <c r="V207" s="123">
        <v>0</v>
      </c>
      <c r="W207" s="127">
        <f>SUM(Q207:U207)</f>
        <v>66</v>
      </c>
      <c r="X207" s="128">
        <f>SUM(O207:V207)</f>
        <v>66</v>
      </c>
      <c r="Y207" s="26" t="s">
        <v>338</v>
      </c>
      <c r="Z207" s="36" t="s">
        <v>287</v>
      </c>
      <c r="AA207" s="28" t="s">
        <v>335</v>
      </c>
    </row>
    <row r="208" spans="1:28" s="18" customFormat="1" ht="30" customHeight="1" x14ac:dyDescent="0.45">
      <c r="A208" s="29">
        <v>227</v>
      </c>
      <c r="B208" s="73">
        <v>1399</v>
      </c>
      <c r="C208" s="74" t="s">
        <v>139</v>
      </c>
      <c r="D208" s="73">
        <f>VLOOKUP(PhasesTable[[#This Row],[CIP '#]],ProjectsTable[[CIP '#]:[Project Classification 3]],5,FALSE)</f>
        <v>213</v>
      </c>
      <c r="E208" s="73">
        <f>VLOOKUP(PhasesTable[[#This Row],[CIP '#]],ProjectsTable[[CIP '#]:[Project Classification 3]],6,FALSE)</f>
        <v>213009</v>
      </c>
      <c r="F208" s="32" t="s">
        <v>119</v>
      </c>
      <c r="G208" s="63" t="str">
        <f>VLOOKUP(PhasesTable[[#This Row],[CIP '#]],ProjectsTable[[CIP '#]:[Project Classification 3]],8,FALSE)</f>
        <v>Wastewater</v>
      </c>
      <c r="H208" s="65" t="str">
        <f>VLOOKUP(PhasesTable[[#This Row],[CIP '#]],ProjectsTable[[CIP '#]:[Project Classification 3]],9,FALSE)</f>
        <v>WRRF</v>
      </c>
      <c r="I208" s="65" t="str">
        <f>VLOOKUP(PhasesTable[[#This Row],[CIP '#]],ProjectsTable[[CIP '#]:[Project Classification 3]],10,FALSE)</f>
        <v>Residuals Management</v>
      </c>
      <c r="J208" s="33" t="s">
        <v>201</v>
      </c>
      <c r="K208" s="24" t="s">
        <v>27</v>
      </c>
      <c r="L208" s="24" t="s">
        <v>226</v>
      </c>
      <c r="M208" s="45" t="s">
        <v>27</v>
      </c>
      <c r="N208" s="45" t="s">
        <v>27</v>
      </c>
      <c r="O208" s="117">
        <v>0</v>
      </c>
      <c r="P208" s="117">
        <v>0</v>
      </c>
      <c r="Q208" s="124">
        <v>0</v>
      </c>
      <c r="R208" s="125">
        <v>0</v>
      </c>
      <c r="S208" s="125">
        <v>1000</v>
      </c>
      <c r="T208" s="125">
        <v>6000</v>
      </c>
      <c r="U208" s="126">
        <v>6000</v>
      </c>
      <c r="V208" s="123">
        <v>0</v>
      </c>
      <c r="W208" s="127">
        <f>SUM(Q208:U208)</f>
        <v>13000</v>
      </c>
      <c r="X208" s="143">
        <f>SUM(O208:V208)</f>
        <v>13000</v>
      </c>
      <c r="Y208" s="26" t="s">
        <v>338</v>
      </c>
      <c r="Z208" s="60" t="s">
        <v>287</v>
      </c>
      <c r="AA208" s="28" t="s">
        <v>335</v>
      </c>
    </row>
    <row r="209" spans="1:28" s="18" customFormat="1" ht="30" customHeight="1" x14ac:dyDescent="0.45">
      <c r="A209" s="75">
        <v>117</v>
      </c>
      <c r="B209" s="76">
        <v>1399</v>
      </c>
      <c r="C209" s="77" t="s">
        <v>139</v>
      </c>
      <c r="D209" s="75">
        <f>VLOOKUP(PhasesTable[[#This Row],[CIP '#]],ProjectsTable[[CIP '#]:[Project Classification 3]],5,FALSE)</f>
        <v>213</v>
      </c>
      <c r="E209" s="75">
        <f>VLOOKUP(PhasesTable[[#This Row],[CIP '#]],ProjectsTable[[CIP '#]:[Project Classification 3]],6,FALSE)</f>
        <v>213009</v>
      </c>
      <c r="F209" s="23" t="s">
        <v>119</v>
      </c>
      <c r="G209" s="23" t="str">
        <f>VLOOKUP(PhasesTable[[#This Row],[CIP '#]],ProjectsTable[[CIP '#]:[Project Classification 3]],8,FALSE)</f>
        <v>Wastewater</v>
      </c>
      <c r="H209" s="24" t="str">
        <f>VLOOKUP(PhasesTable[[#This Row],[CIP '#]],ProjectsTable[[CIP '#]:[Project Classification 3]],9,FALSE)</f>
        <v>WRRF</v>
      </c>
      <c r="I209" s="24" t="str">
        <f>VLOOKUP(PhasesTable[[#This Row],[CIP '#]],ProjectsTable[[CIP '#]:[Project Classification 3]],10,FALSE)</f>
        <v>Residuals Management</v>
      </c>
      <c r="J209" s="24" t="s">
        <v>215</v>
      </c>
      <c r="K209" s="24" t="s">
        <v>27</v>
      </c>
      <c r="L209" s="24" t="s">
        <v>226</v>
      </c>
      <c r="M209" s="45" t="s">
        <v>27</v>
      </c>
      <c r="N209" s="45" t="s">
        <v>27</v>
      </c>
      <c r="O209" s="117">
        <v>0</v>
      </c>
      <c r="P209" s="117">
        <v>0</v>
      </c>
      <c r="Q209" s="118">
        <v>0</v>
      </c>
      <c r="R209" s="119">
        <v>500</v>
      </c>
      <c r="S209" s="119">
        <v>1000</v>
      </c>
      <c r="T209" s="119">
        <v>250</v>
      </c>
      <c r="U209" s="120">
        <v>250</v>
      </c>
      <c r="V209" s="117">
        <v>0</v>
      </c>
      <c r="W209" s="121">
        <f>SUM(Q209:U209)</f>
        <v>2000</v>
      </c>
      <c r="X209" s="144">
        <f>SUM(O209:V209)</f>
        <v>2000</v>
      </c>
      <c r="Y209" s="26" t="s">
        <v>338</v>
      </c>
      <c r="Z209" s="36" t="s">
        <v>287</v>
      </c>
      <c r="AA209" s="28" t="s">
        <v>335</v>
      </c>
    </row>
    <row r="210" spans="1:28" s="19" customFormat="1" ht="30" customHeight="1" x14ac:dyDescent="0.45">
      <c r="A210" s="78">
        <v>244</v>
      </c>
      <c r="B210" s="79">
        <v>1400</v>
      </c>
      <c r="C210" s="80" t="s">
        <v>89</v>
      </c>
      <c r="D210" s="79">
        <f>VLOOKUP(PhasesTable[[#This Row],[CIP '#]],ProjectsTable[[CIP '#]:[Project Classification 3]],5,FALSE)</f>
        <v>1706</v>
      </c>
      <c r="E210" s="79">
        <f>VLOOKUP(PhasesTable[[#This Row],[CIP '#]],ProjectsTable[[CIP '#]:[Project Classification 3]],6,FALSE)</f>
        <v>170600</v>
      </c>
      <c r="F210" s="12" t="s">
        <v>24</v>
      </c>
      <c r="G210" s="81" t="str">
        <f>VLOOKUP(PhasesTable[[#This Row],[CIP '#]],ProjectsTable[[CIP '#]:[Project Classification 3]],8,FALSE)</f>
        <v>Water</v>
      </c>
      <c r="H210" s="82" t="str">
        <f>VLOOKUP(PhasesTable[[#This Row],[CIP '#]],ProjectsTable[[CIP '#]:[Project Classification 3]],9,FALSE)</f>
        <v>Programs</v>
      </c>
      <c r="I210" s="82" t="str">
        <f>VLOOKUP(PhasesTable[[#This Row],[CIP '#]],ProjectsTable[[CIP '#]:[Project Classification 3]],10,FALSE)</f>
        <v>Programs</v>
      </c>
      <c r="J210" s="12" t="s">
        <v>201</v>
      </c>
      <c r="K210" s="12" t="s">
        <v>27</v>
      </c>
      <c r="L210" s="12" t="s">
        <v>226</v>
      </c>
      <c r="M210" s="14" t="s">
        <v>27</v>
      </c>
      <c r="N210" s="14" t="s">
        <v>27</v>
      </c>
      <c r="O210" s="111">
        <v>0</v>
      </c>
      <c r="P210" s="111">
        <v>0</v>
      </c>
      <c r="Q210" s="112">
        <v>2000</v>
      </c>
      <c r="R210" s="113">
        <v>2000</v>
      </c>
      <c r="S210" s="113">
        <v>2000</v>
      </c>
      <c r="T210" s="113">
        <v>2000</v>
      </c>
      <c r="U210" s="114">
        <v>2000</v>
      </c>
      <c r="V210" s="111">
        <v>0</v>
      </c>
      <c r="W210" s="115">
        <f>SUM(Q210:U210)</f>
        <v>10000</v>
      </c>
      <c r="X210" s="145">
        <f>SUM(O210:V210)</f>
        <v>10000</v>
      </c>
      <c r="Y210" s="15" t="s">
        <v>338</v>
      </c>
      <c r="Z210" s="47" t="s">
        <v>288</v>
      </c>
      <c r="AA210" s="17" t="s">
        <v>335</v>
      </c>
      <c r="AB210" s="18"/>
    </row>
    <row r="211" spans="1:28" s="19" customFormat="1" ht="30" customHeight="1" x14ac:dyDescent="0.45">
      <c r="A211" s="78">
        <v>243</v>
      </c>
      <c r="B211" s="79">
        <v>1400</v>
      </c>
      <c r="C211" s="80" t="s">
        <v>89</v>
      </c>
      <c r="D211" s="79">
        <f>VLOOKUP(PhasesTable[[#This Row],[CIP '#]],ProjectsTable[[CIP '#]:[Project Classification 3]],5,FALSE)</f>
        <v>1706</v>
      </c>
      <c r="E211" s="79">
        <f>VLOOKUP(PhasesTable[[#This Row],[CIP '#]],ProjectsTable[[CIP '#]:[Project Classification 3]],6,FALSE)</f>
        <v>170600</v>
      </c>
      <c r="F211" s="12" t="s">
        <v>24</v>
      </c>
      <c r="G211" s="81" t="str">
        <f>VLOOKUP(PhasesTable[[#This Row],[CIP '#]],ProjectsTable[[CIP '#]:[Project Classification 3]],8,FALSE)</f>
        <v>Water</v>
      </c>
      <c r="H211" s="82" t="str">
        <f>VLOOKUP(PhasesTable[[#This Row],[CIP '#]],ProjectsTable[[CIP '#]:[Project Classification 3]],9,FALSE)</f>
        <v>Programs</v>
      </c>
      <c r="I211" s="82" t="str">
        <f>VLOOKUP(PhasesTable[[#This Row],[CIP '#]],ProjectsTable[[CIP '#]:[Project Classification 3]],10,FALSE)</f>
        <v>Programs</v>
      </c>
      <c r="J211" s="12" t="s">
        <v>206</v>
      </c>
      <c r="K211" s="12" t="s">
        <v>27</v>
      </c>
      <c r="L211" s="12" t="s">
        <v>226</v>
      </c>
      <c r="M211" s="14" t="s">
        <v>27</v>
      </c>
      <c r="N211" s="14" t="s">
        <v>27</v>
      </c>
      <c r="O211" s="111">
        <v>0</v>
      </c>
      <c r="P211" s="111">
        <v>0</v>
      </c>
      <c r="Q211" s="112">
        <v>426</v>
      </c>
      <c r="R211" s="113">
        <v>0</v>
      </c>
      <c r="S211" s="113">
        <v>0</v>
      </c>
      <c r="T211" s="113">
        <v>0</v>
      </c>
      <c r="U211" s="114">
        <v>0</v>
      </c>
      <c r="V211" s="111">
        <v>0</v>
      </c>
      <c r="W211" s="115">
        <f>SUM(Q211:U211)</f>
        <v>426</v>
      </c>
      <c r="X211" s="145">
        <f>SUM(O211:V211)</f>
        <v>426</v>
      </c>
      <c r="Y211" s="15" t="s">
        <v>338</v>
      </c>
      <c r="Z211" s="47" t="s">
        <v>288</v>
      </c>
      <c r="AA211" s="17" t="s">
        <v>335</v>
      </c>
      <c r="AB211" s="50"/>
    </row>
    <row r="212" spans="1:28" s="19" customFormat="1" ht="30" customHeight="1" x14ac:dyDescent="0.45">
      <c r="A212" s="78">
        <v>55</v>
      </c>
      <c r="B212" s="79">
        <v>1400</v>
      </c>
      <c r="C212" s="80" t="s">
        <v>89</v>
      </c>
      <c r="D212" s="78">
        <f>VLOOKUP(PhasesTable[[#This Row],[CIP '#]],ProjectsTable[[CIP '#]:[Project Classification 3]],5,FALSE)</f>
        <v>1706</v>
      </c>
      <c r="E212" s="78">
        <f>VLOOKUP(PhasesTable[[#This Row],[CIP '#]],ProjectsTable[[CIP '#]:[Project Classification 3]],6,FALSE)</f>
        <v>170600</v>
      </c>
      <c r="F212" s="12" t="s">
        <v>24</v>
      </c>
      <c r="G212" s="13" t="str">
        <f>VLOOKUP(PhasesTable[[#This Row],[CIP '#]],ProjectsTable[[CIP '#]:[Project Classification 3]],8,FALSE)</f>
        <v>Water</v>
      </c>
      <c r="H212" s="12" t="str">
        <f>VLOOKUP(PhasesTable[[#This Row],[CIP '#]],ProjectsTable[[CIP '#]:[Project Classification 3]],9,FALSE)</f>
        <v>Programs</v>
      </c>
      <c r="I212" s="12" t="str">
        <f>VLOOKUP(PhasesTable[[#This Row],[CIP '#]],ProjectsTable[[CIP '#]:[Project Classification 3]],10,FALSE)</f>
        <v>Programs</v>
      </c>
      <c r="J212" s="12" t="s">
        <v>204</v>
      </c>
      <c r="K212" s="12" t="s">
        <v>27</v>
      </c>
      <c r="L212" s="12" t="s">
        <v>226</v>
      </c>
      <c r="M212" s="14" t="s">
        <v>27</v>
      </c>
      <c r="N212" s="14" t="s">
        <v>27</v>
      </c>
      <c r="O212" s="111">
        <v>0</v>
      </c>
      <c r="P212" s="111">
        <v>0</v>
      </c>
      <c r="Q212" s="112">
        <v>200</v>
      </c>
      <c r="R212" s="113">
        <v>0</v>
      </c>
      <c r="S212" s="113">
        <v>0</v>
      </c>
      <c r="T212" s="113">
        <v>0</v>
      </c>
      <c r="U212" s="114">
        <v>0</v>
      </c>
      <c r="V212" s="111">
        <v>0</v>
      </c>
      <c r="W212" s="115">
        <f>SUM(Q212:U212)</f>
        <v>200</v>
      </c>
      <c r="X212" s="145">
        <f>SUM(O212:V212)</f>
        <v>200</v>
      </c>
      <c r="Y212" s="15" t="s">
        <v>338</v>
      </c>
      <c r="Z212" s="47" t="s">
        <v>287</v>
      </c>
      <c r="AA212" s="17" t="s">
        <v>335</v>
      </c>
    </row>
    <row r="213" spans="1:28" s="44" customFormat="1" x14ac:dyDescent="0.45">
      <c r="A213" s="78">
        <v>40</v>
      </c>
      <c r="B213" s="79">
        <v>1401</v>
      </c>
      <c r="C213" s="80" t="s">
        <v>69</v>
      </c>
      <c r="D213" s="78">
        <f>VLOOKUP(PhasesTable[[#This Row],[CIP '#]],ProjectsTable[[CIP '#]:[Project Classification 3]],5,FALSE)</f>
        <v>1703</v>
      </c>
      <c r="E213" s="78">
        <f>VLOOKUP(PhasesTable[[#This Row],[CIP '#]],ProjectsTable[[CIP '#]:[Project Classification 3]],6,FALSE)</f>
        <v>170300</v>
      </c>
      <c r="F213" s="12" t="s">
        <v>24</v>
      </c>
      <c r="G213" s="13" t="str">
        <f>VLOOKUP(PhasesTable[[#This Row],[CIP '#]],ProjectsTable[[CIP '#]:[Project Classification 3]],8,FALSE)</f>
        <v>Water</v>
      </c>
      <c r="H213" s="12" t="str">
        <f>VLOOKUP(PhasesTable[[#This Row],[CIP '#]],ProjectsTable[[CIP '#]:[Project Classification 3]],9,FALSE)</f>
        <v>Programs</v>
      </c>
      <c r="I213" s="12" t="str">
        <f>VLOOKUP(PhasesTable[[#This Row],[CIP '#]],ProjectsTable[[CIP '#]:[Project Classification 3]],10,FALSE)</f>
        <v>Programs</v>
      </c>
      <c r="J213" s="12" t="s">
        <v>201</v>
      </c>
      <c r="K213" s="12" t="s">
        <v>27</v>
      </c>
      <c r="L213" s="12" t="s">
        <v>226</v>
      </c>
      <c r="M213" s="14" t="s">
        <v>27</v>
      </c>
      <c r="N213" s="14" t="s">
        <v>27</v>
      </c>
      <c r="O213" s="111">
        <v>0</v>
      </c>
      <c r="P213" s="111">
        <v>0</v>
      </c>
      <c r="Q213" s="112">
        <v>1340</v>
      </c>
      <c r="R213" s="113">
        <v>1340</v>
      </c>
      <c r="S213" s="113">
        <v>1340</v>
      </c>
      <c r="T213" s="113">
        <v>1340</v>
      </c>
      <c r="U213" s="114">
        <v>1340</v>
      </c>
      <c r="V213" s="111">
        <v>0</v>
      </c>
      <c r="W213" s="115">
        <f>SUM(Q213:U213)</f>
        <v>6700</v>
      </c>
      <c r="X213" s="145">
        <f>SUM(O213:V213)</f>
        <v>6700</v>
      </c>
      <c r="Y213" s="15" t="s">
        <v>339</v>
      </c>
      <c r="Z213" s="47" t="s">
        <v>288</v>
      </c>
      <c r="AA213" s="17" t="s">
        <v>335</v>
      </c>
      <c r="AB213" s="43"/>
    </row>
    <row r="214" spans="1:28" s="44" customFormat="1" x14ac:dyDescent="0.45">
      <c r="A214" s="37">
        <v>221</v>
      </c>
      <c r="B214" s="79">
        <v>1401</v>
      </c>
      <c r="C214" s="80" t="s">
        <v>69</v>
      </c>
      <c r="D214" s="79">
        <f>VLOOKUP(PhasesTable[[#This Row],[CIP '#]],ProjectsTable[[CIP '#]:[Project Classification 3]],5,FALSE)</f>
        <v>1703</v>
      </c>
      <c r="E214" s="79">
        <f>VLOOKUP(PhasesTable[[#This Row],[CIP '#]],ProjectsTable[[CIP '#]:[Project Classification 3]],6,FALSE)</f>
        <v>170300</v>
      </c>
      <c r="F214" s="12" t="s">
        <v>24</v>
      </c>
      <c r="G214" s="81" t="str">
        <f>VLOOKUP(PhasesTable[[#This Row],[CIP '#]],ProjectsTable[[CIP '#]:[Project Classification 3]],8,FALSE)</f>
        <v>Water</v>
      </c>
      <c r="H214" s="82" t="str">
        <f>VLOOKUP(PhasesTable[[#This Row],[CIP '#]],ProjectsTable[[CIP '#]:[Project Classification 3]],9,FALSE)</f>
        <v>Programs</v>
      </c>
      <c r="I214" s="82" t="str">
        <f>VLOOKUP(PhasesTable[[#This Row],[CIP '#]],ProjectsTable[[CIP '#]:[Project Classification 3]],10,FALSE)</f>
        <v>Programs</v>
      </c>
      <c r="J214" s="12" t="s">
        <v>206</v>
      </c>
      <c r="K214" s="12" t="s">
        <v>27</v>
      </c>
      <c r="L214" s="12" t="s">
        <v>226</v>
      </c>
      <c r="M214" s="14" t="s">
        <v>27</v>
      </c>
      <c r="N214" s="14" t="s">
        <v>27</v>
      </c>
      <c r="O214" s="111">
        <v>0</v>
      </c>
      <c r="P214" s="111">
        <v>0</v>
      </c>
      <c r="Q214" s="112">
        <v>160</v>
      </c>
      <c r="R214" s="113">
        <v>160</v>
      </c>
      <c r="S214" s="113">
        <v>160</v>
      </c>
      <c r="T214" s="113">
        <v>160</v>
      </c>
      <c r="U214" s="114">
        <v>160</v>
      </c>
      <c r="V214" s="111">
        <v>0</v>
      </c>
      <c r="W214" s="115">
        <f>SUM(Q214:U214)</f>
        <v>800</v>
      </c>
      <c r="X214" s="145">
        <f>SUM(O214:V214)</f>
        <v>800</v>
      </c>
      <c r="Y214" s="15" t="s">
        <v>339</v>
      </c>
      <c r="Z214" s="47" t="s">
        <v>288</v>
      </c>
      <c r="AA214" s="17" t="s">
        <v>335</v>
      </c>
      <c r="AB214" s="43"/>
    </row>
    <row r="215" spans="1:28" s="18" customFormat="1" ht="28.5" x14ac:dyDescent="0.45">
      <c r="A215" s="64">
        <v>144</v>
      </c>
      <c r="B215" s="73">
        <v>1402</v>
      </c>
      <c r="C215" s="74" t="s">
        <v>156</v>
      </c>
      <c r="D215" s="64">
        <f>VLOOKUP(PhasesTable[[#This Row],[CIP '#]],ProjectsTable[[CIP '#]:[Project Classification 3]],5,FALSE)</f>
        <v>216</v>
      </c>
      <c r="E215" s="64">
        <f>VLOOKUP(PhasesTable[[#This Row],[CIP '#]],ProjectsTable[[CIP '#]:[Project Classification 3]],6,FALSE)</f>
        <v>216007</v>
      </c>
      <c r="F215" s="33" t="s">
        <v>119</v>
      </c>
      <c r="G215" s="23" t="str">
        <f>VLOOKUP(PhasesTable[[#This Row],[CIP '#]],ProjectsTable[[CIP '#]:[Project Classification 3]],8,FALSE)</f>
        <v>Wastewater</v>
      </c>
      <c r="H215" s="24" t="str">
        <f>VLOOKUP(PhasesTable[[#This Row],[CIP '#]],ProjectsTable[[CIP '#]:[Project Classification 3]],9,FALSE)</f>
        <v>WRRF</v>
      </c>
      <c r="I215" s="33" t="str">
        <f>VLOOKUP(PhasesTable[[#This Row],[CIP '#]],ProjectsTable[[CIP '#]:[Project Classification 3]],10,FALSE)</f>
        <v>General Purpose</v>
      </c>
      <c r="J215" s="33" t="s">
        <v>201</v>
      </c>
      <c r="K215" s="33" t="s">
        <v>27</v>
      </c>
      <c r="L215" s="33" t="s">
        <v>226</v>
      </c>
      <c r="M215" s="49" t="s">
        <v>27</v>
      </c>
      <c r="N215" s="49" t="s">
        <v>27</v>
      </c>
      <c r="O215" s="123">
        <v>0</v>
      </c>
      <c r="P215" s="123">
        <v>0</v>
      </c>
      <c r="Q215" s="124">
        <v>3000</v>
      </c>
      <c r="R215" s="125">
        <v>3000</v>
      </c>
      <c r="S215" s="125">
        <v>0</v>
      </c>
      <c r="T215" s="125">
        <v>0</v>
      </c>
      <c r="U215" s="126">
        <v>0</v>
      </c>
      <c r="V215" s="123">
        <v>0</v>
      </c>
      <c r="W215" s="127">
        <f>SUM(Q215:U215)</f>
        <v>6000</v>
      </c>
      <c r="X215" s="143">
        <f>SUM(O215:V215)</f>
        <v>6000</v>
      </c>
      <c r="Y215" s="26" t="s">
        <v>338</v>
      </c>
      <c r="Z215" s="36" t="s">
        <v>288</v>
      </c>
      <c r="AA215" s="28" t="s">
        <v>335</v>
      </c>
    </row>
    <row r="216" spans="1:28" s="43" customFormat="1" ht="28.5" x14ac:dyDescent="0.45">
      <c r="A216" s="64">
        <v>145</v>
      </c>
      <c r="B216" s="73">
        <v>1402</v>
      </c>
      <c r="C216" s="74" t="s">
        <v>156</v>
      </c>
      <c r="D216" s="64">
        <f>VLOOKUP(PhasesTable[[#This Row],[CIP '#]],ProjectsTable[[CIP '#]:[Project Classification 3]],5,FALSE)</f>
        <v>216</v>
      </c>
      <c r="E216" s="64">
        <f>VLOOKUP(PhasesTable[[#This Row],[CIP '#]],ProjectsTable[[CIP '#]:[Project Classification 3]],6,FALSE)</f>
        <v>216007</v>
      </c>
      <c r="F216" s="33" t="s">
        <v>119</v>
      </c>
      <c r="G216" s="23" t="str">
        <f>VLOOKUP(PhasesTable[[#This Row],[CIP '#]],ProjectsTable[[CIP '#]:[Project Classification 3]],8,FALSE)</f>
        <v>Wastewater</v>
      </c>
      <c r="H216" s="24" t="str">
        <f>VLOOKUP(PhasesTable[[#This Row],[CIP '#]],ProjectsTable[[CIP '#]:[Project Classification 3]],9,FALSE)</f>
        <v>WRRF</v>
      </c>
      <c r="I216" s="33" t="str">
        <f>VLOOKUP(PhasesTable[[#This Row],[CIP '#]],ProjectsTable[[CIP '#]:[Project Classification 3]],10,FALSE)</f>
        <v>General Purpose</v>
      </c>
      <c r="J216" s="33" t="s">
        <v>215</v>
      </c>
      <c r="K216" s="33" t="s">
        <v>27</v>
      </c>
      <c r="L216" s="33" t="s">
        <v>226</v>
      </c>
      <c r="M216" s="49" t="s">
        <v>27</v>
      </c>
      <c r="N216" s="49" t="s">
        <v>27</v>
      </c>
      <c r="O216" s="123">
        <v>0</v>
      </c>
      <c r="P216" s="123">
        <v>0</v>
      </c>
      <c r="Q216" s="124">
        <v>500</v>
      </c>
      <c r="R216" s="125">
        <v>500</v>
      </c>
      <c r="S216" s="125">
        <v>0</v>
      </c>
      <c r="T216" s="125">
        <v>0</v>
      </c>
      <c r="U216" s="126">
        <v>0</v>
      </c>
      <c r="V216" s="123">
        <v>0</v>
      </c>
      <c r="W216" s="127">
        <f>SUM(Q216:U216)</f>
        <v>1000</v>
      </c>
      <c r="X216" s="143">
        <f>SUM(O216:V216)</f>
        <v>1000</v>
      </c>
      <c r="Y216" s="26" t="s">
        <v>338</v>
      </c>
      <c r="Z216" s="36" t="s">
        <v>288</v>
      </c>
      <c r="AA216" s="28" t="s">
        <v>335</v>
      </c>
    </row>
    <row r="217" spans="1:28" s="44" customFormat="1" ht="28.5" x14ac:dyDescent="0.45">
      <c r="A217" s="78">
        <v>56</v>
      </c>
      <c r="B217" s="10">
        <v>1403</v>
      </c>
      <c r="C217" s="11" t="s">
        <v>90</v>
      </c>
      <c r="D217" s="9">
        <f>VLOOKUP(PhasesTable[[#This Row],[CIP '#]],ProjectsTable[[CIP '#]:[Project Classification 3]],5,FALSE)</f>
        <v>122</v>
      </c>
      <c r="E217" s="9">
        <f>VLOOKUP(PhasesTable[[#This Row],[CIP '#]],ProjectsTable[[CIP '#]:[Project Classification 3]],6,FALSE)</f>
        <v>122011</v>
      </c>
      <c r="F217" s="12" t="s">
        <v>24</v>
      </c>
      <c r="G217" s="13" t="str">
        <f>VLOOKUP(PhasesTable[[#This Row],[CIP '#]],ProjectsTable[[CIP '#]:[Project Classification 3]],8,FALSE)</f>
        <v>Water</v>
      </c>
      <c r="H217" s="12" t="str">
        <f>VLOOKUP(PhasesTable[[#This Row],[CIP '#]],ProjectsTable[[CIP '#]:[Project Classification 3]],9,FALSE)</f>
        <v>Field Services</v>
      </c>
      <c r="I217" s="12" t="str">
        <f>VLOOKUP(PhasesTable[[#This Row],[CIP '#]],ProjectsTable[[CIP '#]:[Project Classification 3]],10,FALSE)</f>
        <v>Transmission System</v>
      </c>
      <c r="J217" s="13" t="s">
        <v>201</v>
      </c>
      <c r="K217" s="12" t="s">
        <v>27</v>
      </c>
      <c r="L217" s="13" t="s">
        <v>200</v>
      </c>
      <c r="M217" s="14" t="s">
        <v>27</v>
      </c>
      <c r="N217" s="83" t="s">
        <v>27</v>
      </c>
      <c r="O217" s="146">
        <v>0</v>
      </c>
      <c r="P217" s="111">
        <v>0</v>
      </c>
      <c r="Q217" s="112">
        <v>1800</v>
      </c>
      <c r="R217" s="113">
        <v>2200</v>
      </c>
      <c r="S217" s="113">
        <v>0</v>
      </c>
      <c r="T217" s="113">
        <v>0</v>
      </c>
      <c r="U217" s="114">
        <v>0</v>
      </c>
      <c r="V217" s="146">
        <v>0</v>
      </c>
      <c r="W217" s="115">
        <v>4000</v>
      </c>
      <c r="X217" s="145">
        <f>SUM(O217:V217)</f>
        <v>4000</v>
      </c>
      <c r="Y217" s="15" t="s">
        <v>338</v>
      </c>
      <c r="Z217" s="47" t="s">
        <v>286</v>
      </c>
      <c r="AA217" s="17" t="s">
        <v>335</v>
      </c>
      <c r="AB217" s="68"/>
    </row>
    <row r="218" spans="1:28" s="44" customFormat="1" ht="28.5" x14ac:dyDescent="0.45">
      <c r="A218" s="9">
        <v>57</v>
      </c>
      <c r="B218" s="10">
        <v>1404</v>
      </c>
      <c r="C218" s="11" t="s">
        <v>91</v>
      </c>
      <c r="D218" s="9">
        <f>VLOOKUP(PhasesTable[[#This Row],[CIP '#]],ProjectsTable[[CIP '#]:[Project Classification 3]],5,FALSE)</f>
        <v>122</v>
      </c>
      <c r="E218" s="9">
        <f>VLOOKUP(PhasesTable[[#This Row],[CIP '#]],ProjectsTable[[CIP '#]:[Project Classification 3]],6,FALSE)</f>
        <v>122012</v>
      </c>
      <c r="F218" s="12" t="s">
        <v>24</v>
      </c>
      <c r="G218" s="13" t="str">
        <f>VLOOKUP(PhasesTable[[#This Row],[CIP '#]],ProjectsTable[[CIP '#]:[Project Classification 3]],8,FALSE)</f>
        <v>Water</v>
      </c>
      <c r="H218" s="12" t="str">
        <f>VLOOKUP(PhasesTable[[#This Row],[CIP '#]],ProjectsTable[[CIP '#]:[Project Classification 3]],9,FALSE)</f>
        <v>Field Services</v>
      </c>
      <c r="I218" s="13" t="str">
        <f>VLOOKUP(PhasesTable[[#This Row],[CIP '#]],ProjectsTable[[CIP '#]:[Project Classification 3]],10,FALSE)</f>
        <v>Transmission System</v>
      </c>
      <c r="J218" s="13" t="s">
        <v>201</v>
      </c>
      <c r="K218" s="12" t="s">
        <v>231</v>
      </c>
      <c r="L218" s="13" t="s">
        <v>200</v>
      </c>
      <c r="M218" s="14">
        <v>42485</v>
      </c>
      <c r="N218" s="14">
        <v>42910</v>
      </c>
      <c r="O218" s="147">
        <v>0</v>
      </c>
      <c r="P218" s="111">
        <v>2000</v>
      </c>
      <c r="Q218" s="112">
        <v>5061</v>
      </c>
      <c r="R218" s="113">
        <v>0</v>
      </c>
      <c r="S218" s="113">
        <v>0</v>
      </c>
      <c r="T218" s="113">
        <v>0</v>
      </c>
      <c r="U218" s="114">
        <v>0</v>
      </c>
      <c r="V218" s="111">
        <v>0</v>
      </c>
      <c r="W218" s="115">
        <f>SUM(Q218:U218)</f>
        <v>5061</v>
      </c>
      <c r="X218" s="145">
        <f>SUM(O218:V218)</f>
        <v>7061</v>
      </c>
      <c r="Y218" s="15" t="s">
        <v>338</v>
      </c>
      <c r="Z218" s="47" t="s">
        <v>286</v>
      </c>
      <c r="AA218" s="17" t="s">
        <v>335</v>
      </c>
      <c r="AB218" s="68"/>
    </row>
    <row r="219" spans="1:28" s="19" customFormat="1" ht="28.5" x14ac:dyDescent="0.45">
      <c r="A219" s="78">
        <v>58</v>
      </c>
      <c r="B219" s="79">
        <v>1405</v>
      </c>
      <c r="C219" s="80" t="s">
        <v>92</v>
      </c>
      <c r="D219" s="78">
        <f>VLOOKUP(PhasesTable[[#This Row],[CIP '#]],ProjectsTable[[CIP '#]:[Project Classification 3]],5,FALSE)</f>
        <v>122</v>
      </c>
      <c r="E219" s="78">
        <f>VLOOKUP(PhasesTable[[#This Row],[CIP '#]],ProjectsTable[[CIP '#]:[Project Classification 3]],6,FALSE)</f>
        <v>122013</v>
      </c>
      <c r="F219" s="12" t="s">
        <v>24</v>
      </c>
      <c r="G219" s="12" t="str">
        <f>VLOOKUP(PhasesTable[[#This Row],[CIP '#]],ProjectsTable[[CIP '#]:[Project Classification 3]],8,FALSE)</f>
        <v>Water</v>
      </c>
      <c r="H219" s="12" t="str">
        <f>VLOOKUP(PhasesTable[[#This Row],[CIP '#]],ProjectsTable[[CIP '#]:[Project Classification 3]],9,FALSE)</f>
        <v>Field Services</v>
      </c>
      <c r="I219" s="84" t="str">
        <f>VLOOKUP(PhasesTable[[#This Row],[CIP '#]],ProjectsTable[[CIP '#]:[Project Classification 3]],10,FALSE)</f>
        <v>Transmission System</v>
      </c>
      <c r="J219" s="12" t="s">
        <v>208</v>
      </c>
      <c r="K219" s="12" t="s">
        <v>27</v>
      </c>
      <c r="L219" s="12" t="s">
        <v>226</v>
      </c>
      <c r="M219" s="14" t="s">
        <v>27</v>
      </c>
      <c r="N219" s="14" t="s">
        <v>27</v>
      </c>
      <c r="O219" s="111">
        <v>0</v>
      </c>
      <c r="P219" s="111">
        <v>1300</v>
      </c>
      <c r="Q219" s="112">
        <v>10500</v>
      </c>
      <c r="R219" s="115">
        <v>12000</v>
      </c>
      <c r="S219" s="115">
        <v>6000</v>
      </c>
      <c r="T219" s="115">
        <v>0</v>
      </c>
      <c r="U219" s="114">
        <v>0</v>
      </c>
      <c r="V219" s="111">
        <v>0</v>
      </c>
      <c r="W219" s="115">
        <f>SUM(Q219:U219)</f>
        <v>28500</v>
      </c>
      <c r="X219" s="145">
        <f>SUM(O219:V219)</f>
        <v>29800</v>
      </c>
      <c r="Y219" s="15" t="s">
        <v>338</v>
      </c>
      <c r="Z219" s="47" t="s">
        <v>286</v>
      </c>
      <c r="AA219" s="17" t="s">
        <v>335</v>
      </c>
      <c r="AB219" s="66"/>
    </row>
    <row r="220" spans="1:28" s="44" customFormat="1" ht="42.75" x14ac:dyDescent="0.45">
      <c r="A220" s="51">
        <v>210</v>
      </c>
      <c r="B220" s="85">
        <v>1407</v>
      </c>
      <c r="C220" s="86" t="s">
        <v>328</v>
      </c>
      <c r="D220" s="85">
        <f>VLOOKUP(PhasesTable[[#This Row],[CIP '#]],ProjectsTable[[CIP '#]:[Project Classification 3]],5,FALSE)</f>
        <v>114</v>
      </c>
      <c r="E220" s="85">
        <f>VLOOKUP(PhasesTable[[#This Row],[CIP '#]],ProjectsTable[[CIP '#]:[Project Classification 3]],6,FALSE)</f>
        <v>114014</v>
      </c>
      <c r="F220" s="40" t="s">
        <v>24</v>
      </c>
      <c r="G220" s="53" t="str">
        <f>VLOOKUP(PhasesTable[[#This Row],[CIP '#]],ProjectsTable[[CIP '#]:[Project Classification 3]],8,FALSE)</f>
        <v>Water</v>
      </c>
      <c r="H220" s="53" t="str">
        <f>VLOOKUP(PhasesTable[[#This Row],[CIP '#]],ProjectsTable[[CIP '#]:[Project Classification 3]],9,FALSE)</f>
        <v>Treatment Plants &amp; Facilities</v>
      </c>
      <c r="I220" s="87" t="str">
        <f>VLOOKUP(PhasesTable[[#This Row],[CIP '#]],ProjectsTable[[CIP '#]:[Project Classification 3]],10,FALSE)</f>
        <v>Springwells</v>
      </c>
      <c r="J220" s="40" t="s">
        <v>206</v>
      </c>
      <c r="K220" s="40" t="s">
        <v>27</v>
      </c>
      <c r="L220" s="40" t="s">
        <v>226</v>
      </c>
      <c r="M220" s="42" t="s">
        <v>27</v>
      </c>
      <c r="N220" s="42" t="s">
        <v>27</v>
      </c>
      <c r="O220" s="130">
        <v>0</v>
      </c>
      <c r="P220" s="130">
        <v>0</v>
      </c>
      <c r="Q220" s="131">
        <v>380</v>
      </c>
      <c r="R220" s="134">
        <v>0</v>
      </c>
      <c r="S220" s="134">
        <v>0</v>
      </c>
      <c r="T220" s="134">
        <v>0</v>
      </c>
      <c r="U220" s="133">
        <v>0</v>
      </c>
      <c r="V220" s="130">
        <v>0</v>
      </c>
      <c r="W220" s="134">
        <f>SUM(Q220:U220)</f>
        <v>380</v>
      </c>
      <c r="X220" s="148">
        <f>SUM(O220:V220)</f>
        <v>380</v>
      </c>
      <c r="Y220" s="15" t="s">
        <v>338</v>
      </c>
      <c r="Z220" s="54" t="s">
        <v>287</v>
      </c>
      <c r="AA220" s="17" t="s">
        <v>335</v>
      </c>
      <c r="AB220" s="68"/>
    </row>
    <row r="221" spans="1:28" s="44" customFormat="1" ht="42.75" x14ac:dyDescent="0.45">
      <c r="A221" s="51">
        <v>208</v>
      </c>
      <c r="B221" s="85">
        <v>1407</v>
      </c>
      <c r="C221" s="86" t="s">
        <v>328</v>
      </c>
      <c r="D221" s="85">
        <f>VLOOKUP(PhasesTable[[#This Row],[CIP '#]],ProjectsTable[[CIP '#]:[Project Classification 3]],5,FALSE)</f>
        <v>114</v>
      </c>
      <c r="E221" s="85">
        <f>VLOOKUP(PhasesTable[[#This Row],[CIP '#]],ProjectsTable[[CIP '#]:[Project Classification 3]],6,FALSE)</f>
        <v>114014</v>
      </c>
      <c r="F221" s="40" t="s">
        <v>24</v>
      </c>
      <c r="G221" s="53" t="str">
        <f>VLOOKUP(PhasesTable[[#This Row],[CIP '#]],ProjectsTable[[CIP '#]:[Project Classification 3]],8,FALSE)</f>
        <v>Water</v>
      </c>
      <c r="H221" s="53" t="str">
        <f>VLOOKUP(PhasesTable[[#This Row],[CIP '#]],ProjectsTable[[CIP '#]:[Project Classification 3]],9,FALSE)</f>
        <v>Treatment Plants &amp; Facilities</v>
      </c>
      <c r="I221" s="87" t="str">
        <f>VLOOKUP(PhasesTable[[#This Row],[CIP '#]],ProjectsTable[[CIP '#]:[Project Classification 3]],10,FALSE)</f>
        <v>Springwells</v>
      </c>
      <c r="J221" s="40" t="s">
        <v>201</v>
      </c>
      <c r="K221" s="40" t="s">
        <v>27</v>
      </c>
      <c r="L221" s="40" t="s">
        <v>226</v>
      </c>
      <c r="M221" s="42" t="s">
        <v>27</v>
      </c>
      <c r="N221" s="42" t="s">
        <v>27</v>
      </c>
      <c r="O221" s="130">
        <v>0</v>
      </c>
      <c r="P221" s="130">
        <v>0</v>
      </c>
      <c r="Q221" s="131">
        <v>0</v>
      </c>
      <c r="R221" s="134">
        <v>2529</v>
      </c>
      <c r="S221" s="134">
        <v>0</v>
      </c>
      <c r="T221" s="134">
        <v>0</v>
      </c>
      <c r="U221" s="133">
        <v>0</v>
      </c>
      <c r="V221" s="130">
        <v>0</v>
      </c>
      <c r="W221" s="134">
        <f>SUM(Q221:U221)</f>
        <v>2529</v>
      </c>
      <c r="X221" s="148">
        <f>SUM(O221:V221)</f>
        <v>2529</v>
      </c>
      <c r="Y221" s="15" t="s">
        <v>338</v>
      </c>
      <c r="Z221" s="54" t="s">
        <v>286</v>
      </c>
      <c r="AA221" s="17" t="s">
        <v>335</v>
      </c>
      <c r="AB221" s="68"/>
    </row>
    <row r="222" spans="1:28" s="44" customFormat="1" ht="42.75" x14ac:dyDescent="0.45">
      <c r="A222" s="37">
        <v>209</v>
      </c>
      <c r="B222" s="85">
        <v>1407</v>
      </c>
      <c r="C222" s="86" t="s">
        <v>328</v>
      </c>
      <c r="D222" s="85">
        <f>VLOOKUP(PhasesTable[[#This Row],[CIP '#]],ProjectsTable[[CIP '#]:[Project Classification 3]],5,FALSE)</f>
        <v>114</v>
      </c>
      <c r="E222" s="85">
        <f>VLOOKUP(PhasesTable[[#This Row],[CIP '#]],ProjectsTable[[CIP '#]:[Project Classification 3]],6,FALSE)</f>
        <v>114014</v>
      </c>
      <c r="F222" s="40" t="s">
        <v>24</v>
      </c>
      <c r="G222" s="53" t="str">
        <f>VLOOKUP(PhasesTable[[#This Row],[CIP '#]],ProjectsTable[[CIP '#]:[Project Classification 3]],8,FALSE)</f>
        <v>Water</v>
      </c>
      <c r="H222" s="53" t="str">
        <f>VLOOKUP(PhasesTable[[#This Row],[CIP '#]],ProjectsTable[[CIP '#]:[Project Classification 3]],9,FALSE)</f>
        <v>Treatment Plants &amp; Facilities</v>
      </c>
      <c r="I222" s="87" t="str">
        <f>VLOOKUP(PhasesTable[[#This Row],[CIP '#]],ProjectsTable[[CIP '#]:[Project Classification 3]],10,FALSE)</f>
        <v>Springwells</v>
      </c>
      <c r="J222" s="40" t="s">
        <v>324</v>
      </c>
      <c r="K222" s="40" t="s">
        <v>27</v>
      </c>
      <c r="L222" s="40" t="s">
        <v>226</v>
      </c>
      <c r="M222" s="42" t="s">
        <v>27</v>
      </c>
      <c r="N222" s="42" t="s">
        <v>27</v>
      </c>
      <c r="O222" s="130">
        <v>0</v>
      </c>
      <c r="P222" s="130">
        <v>0</v>
      </c>
      <c r="Q222" s="131">
        <v>0</v>
      </c>
      <c r="R222" s="134">
        <v>380</v>
      </c>
      <c r="S222" s="134">
        <v>0</v>
      </c>
      <c r="T222" s="134">
        <v>0</v>
      </c>
      <c r="U222" s="133">
        <v>0</v>
      </c>
      <c r="V222" s="130">
        <v>0</v>
      </c>
      <c r="W222" s="134">
        <f>SUM(Q222:U222)</f>
        <v>380</v>
      </c>
      <c r="X222" s="148">
        <f>SUM(O222:V222)</f>
        <v>380</v>
      </c>
      <c r="Y222" s="15" t="s">
        <v>338</v>
      </c>
      <c r="Z222" s="54" t="s">
        <v>286</v>
      </c>
      <c r="AA222" s="17" t="s">
        <v>335</v>
      </c>
      <c r="AB222" s="68"/>
    </row>
    <row r="223" spans="1:28" s="43" customFormat="1" x14ac:dyDescent="0.45">
      <c r="A223" s="29">
        <v>233</v>
      </c>
      <c r="B223" s="76">
        <v>1409</v>
      </c>
      <c r="C223" s="77" t="s">
        <v>329</v>
      </c>
      <c r="D223" s="76">
        <f>VLOOKUP(PhasesTable[[#This Row],[CIP '#]],ProjectsTable[[CIP '#]:[Project Classification 3]],5,FALSE)</f>
        <v>222</v>
      </c>
      <c r="E223" s="76">
        <f>VLOOKUP(PhasesTable[[#This Row],[CIP '#]],ProjectsTable[[CIP '#]:[Project Classification 3]],6,FALSE)</f>
        <v>222006</v>
      </c>
      <c r="F223" s="24" t="s">
        <v>119</v>
      </c>
      <c r="G223" s="62" t="str">
        <f>VLOOKUP(PhasesTable[[#This Row],[CIP '#]],ProjectsTable[[CIP '#]:[Project Classification 3]],8,FALSE)</f>
        <v>Wastewater</v>
      </c>
      <c r="H223" s="62" t="str">
        <f>VLOOKUP(PhasesTable[[#This Row],[CIP '#]],ProjectsTable[[CIP '#]:[Project Classification 3]],9,FALSE)</f>
        <v>Field Services</v>
      </c>
      <c r="I223" s="88" t="str">
        <f>VLOOKUP(PhasesTable[[#This Row],[CIP '#]],ProjectsTable[[CIP '#]:[Project Classification 3]],10,FALSE)</f>
        <v>Interceptors</v>
      </c>
      <c r="J223" s="24" t="s">
        <v>201</v>
      </c>
      <c r="K223" s="24" t="s">
        <v>27</v>
      </c>
      <c r="L223" s="24" t="s">
        <v>226</v>
      </c>
      <c r="M223" s="45" t="s">
        <v>27</v>
      </c>
      <c r="N223" s="45" t="s">
        <v>27</v>
      </c>
      <c r="O223" s="117">
        <v>0</v>
      </c>
      <c r="P223" s="117">
        <v>0</v>
      </c>
      <c r="Q223" s="118">
        <v>6000</v>
      </c>
      <c r="R223" s="121">
        <v>6000</v>
      </c>
      <c r="S223" s="121">
        <v>6000</v>
      </c>
      <c r="T223" s="121">
        <v>6000</v>
      </c>
      <c r="U223" s="120">
        <v>6000</v>
      </c>
      <c r="V223" s="117">
        <v>6000</v>
      </c>
      <c r="W223" s="121">
        <f>SUM(Q223:U223)</f>
        <v>30000</v>
      </c>
      <c r="X223" s="144">
        <f>SUM(O223:V223)</f>
        <v>36000</v>
      </c>
      <c r="Y223" s="26" t="s">
        <v>338</v>
      </c>
      <c r="Z223" s="36" t="s">
        <v>288</v>
      </c>
      <c r="AA223" s="28" t="s">
        <v>335</v>
      </c>
    </row>
    <row r="224" spans="1:28" s="44" customFormat="1" ht="42.75" x14ac:dyDescent="0.45">
      <c r="A224" s="37">
        <v>213</v>
      </c>
      <c r="B224" s="85">
        <v>1410</v>
      </c>
      <c r="C224" s="86" t="s">
        <v>330</v>
      </c>
      <c r="D224" s="85">
        <f>VLOOKUP(PhasesTable[[#This Row],[CIP '#]],ProjectsTable[[CIP '#]:[Project Classification 3]],5,FALSE)</f>
        <v>115</v>
      </c>
      <c r="E224" s="85">
        <f>VLOOKUP(PhasesTable[[#This Row],[CIP '#]],ProjectsTable[[CIP '#]:[Project Classification 3]],6,FALSE)</f>
        <v>115004</v>
      </c>
      <c r="F224" s="40" t="s">
        <v>24</v>
      </c>
      <c r="G224" s="53" t="str">
        <f>VLOOKUP(PhasesTable[[#This Row],[CIP '#]],ProjectsTable[[CIP '#]:[Project Classification 3]],8,FALSE)</f>
        <v>Water</v>
      </c>
      <c r="H224" s="53" t="str">
        <f>VLOOKUP(PhasesTable[[#This Row],[CIP '#]],ProjectsTable[[CIP '#]:[Project Classification 3]],9,FALSE)</f>
        <v>Treatment Plants &amp; Facilities</v>
      </c>
      <c r="I224" s="87" t="str">
        <f>VLOOKUP(PhasesTable[[#This Row],[CIP '#]],ProjectsTable[[CIP '#]:[Project Classification 3]],10,FALSE)</f>
        <v>Water Works Park</v>
      </c>
      <c r="J224" s="40" t="s">
        <v>201</v>
      </c>
      <c r="K224" s="40" t="s">
        <v>27</v>
      </c>
      <c r="L224" s="40" t="s">
        <v>226</v>
      </c>
      <c r="M224" s="42" t="s">
        <v>27</v>
      </c>
      <c r="N224" s="42" t="s">
        <v>27</v>
      </c>
      <c r="O224" s="130">
        <v>0</v>
      </c>
      <c r="P224" s="130">
        <v>0</v>
      </c>
      <c r="Q224" s="131">
        <v>500</v>
      </c>
      <c r="R224" s="134">
        <v>8500</v>
      </c>
      <c r="S224" s="134">
        <v>0</v>
      </c>
      <c r="T224" s="134">
        <v>0</v>
      </c>
      <c r="U224" s="133">
        <v>0</v>
      </c>
      <c r="V224" s="130">
        <v>0</v>
      </c>
      <c r="W224" s="134">
        <f>SUM(Q224:U224)</f>
        <v>9000</v>
      </c>
      <c r="X224" s="148">
        <f>SUM(O224:V224)</f>
        <v>9000</v>
      </c>
      <c r="Y224" s="15" t="s">
        <v>338</v>
      </c>
      <c r="Z224" s="54" t="s">
        <v>286</v>
      </c>
      <c r="AA224" s="17" t="s">
        <v>335</v>
      </c>
      <c r="AB224" s="68"/>
    </row>
    <row r="225" spans="1:28" s="44" customFormat="1" ht="42.75" x14ac:dyDescent="0.45">
      <c r="A225" s="51">
        <v>214</v>
      </c>
      <c r="B225" s="85">
        <v>1410</v>
      </c>
      <c r="C225" s="86" t="s">
        <v>330</v>
      </c>
      <c r="D225" s="85">
        <f>VLOOKUP(PhasesTable[[#This Row],[CIP '#]],ProjectsTable[[CIP '#]:[Project Classification 3]],5,FALSE)</f>
        <v>115</v>
      </c>
      <c r="E225" s="85">
        <f>VLOOKUP(PhasesTable[[#This Row],[CIP '#]],ProjectsTable[[CIP '#]:[Project Classification 3]],6,FALSE)</f>
        <v>115004</v>
      </c>
      <c r="F225" s="40" t="s">
        <v>24</v>
      </c>
      <c r="G225" s="53" t="str">
        <f>VLOOKUP(PhasesTable[[#This Row],[CIP '#]],ProjectsTable[[CIP '#]:[Project Classification 3]],8,FALSE)</f>
        <v>Water</v>
      </c>
      <c r="H225" s="53" t="str">
        <f>VLOOKUP(PhasesTable[[#This Row],[CIP '#]],ProjectsTable[[CIP '#]:[Project Classification 3]],9,FALSE)</f>
        <v>Treatment Plants &amp; Facilities</v>
      </c>
      <c r="I225" s="87" t="str">
        <f>VLOOKUP(PhasesTable[[#This Row],[CIP '#]],ProjectsTable[[CIP '#]:[Project Classification 3]],10,FALSE)</f>
        <v>Water Works Park</v>
      </c>
      <c r="J225" s="40" t="s">
        <v>206</v>
      </c>
      <c r="K225" s="40" t="s">
        <v>327</v>
      </c>
      <c r="L225" s="40" t="s">
        <v>226</v>
      </c>
      <c r="M225" s="42">
        <v>42559</v>
      </c>
      <c r="N225" s="42">
        <v>43125</v>
      </c>
      <c r="O225" s="130">
        <v>0</v>
      </c>
      <c r="P225" s="130">
        <v>290</v>
      </c>
      <c r="Q225" s="131">
        <v>200</v>
      </c>
      <c r="R225" s="134">
        <v>200</v>
      </c>
      <c r="S225" s="134">
        <v>0</v>
      </c>
      <c r="T225" s="134">
        <v>0</v>
      </c>
      <c r="U225" s="133">
        <v>0</v>
      </c>
      <c r="V225" s="130">
        <v>0</v>
      </c>
      <c r="W225" s="134">
        <f>SUM(Q225:U225)</f>
        <v>400</v>
      </c>
      <c r="X225" s="148">
        <f>SUM(O225:V225)</f>
        <v>690</v>
      </c>
      <c r="Y225" s="15" t="s">
        <v>338</v>
      </c>
      <c r="Z225" s="54" t="s">
        <v>286</v>
      </c>
      <c r="AA225" s="17" t="s">
        <v>335</v>
      </c>
      <c r="AB225" s="68"/>
    </row>
    <row r="226" spans="1:28" s="18" customFormat="1" ht="76.150000000000006" customHeight="1" x14ac:dyDescent="0.45">
      <c r="A226" s="64">
        <v>234</v>
      </c>
      <c r="B226" s="73">
        <v>1411</v>
      </c>
      <c r="C226" s="74" t="s">
        <v>331</v>
      </c>
      <c r="D226" s="73">
        <f>VLOOKUP(PhasesTable[[#This Row],[CIP '#]],ProjectsTable[[CIP '#]:[Project Classification 3]],5,FALSE)</f>
        <v>222</v>
      </c>
      <c r="E226" s="73">
        <f>VLOOKUP(PhasesTable[[#This Row],[CIP '#]],ProjectsTable[[CIP '#]:[Project Classification 3]],6,FALSE)</f>
        <v>222007</v>
      </c>
      <c r="F226" s="33" t="s">
        <v>119</v>
      </c>
      <c r="G226" s="65" t="str">
        <f>VLOOKUP(PhasesTable[[#This Row],[CIP '#]],ProjectsTable[[CIP '#]:[Project Classification 3]],8,FALSE)</f>
        <v>Wastewater</v>
      </c>
      <c r="H226" s="65" t="str">
        <f>VLOOKUP(PhasesTable[[#This Row],[CIP '#]],ProjectsTable[[CIP '#]:[Project Classification 3]],9,FALSE)</f>
        <v>Field Services</v>
      </c>
      <c r="I226" s="89" t="str">
        <f>VLOOKUP(PhasesTable[[#This Row],[CIP '#]],ProjectsTable[[CIP '#]:[Project Classification 3]],10,FALSE)</f>
        <v>Interceptors</v>
      </c>
      <c r="J226" s="33" t="s">
        <v>201</v>
      </c>
      <c r="K226" s="33" t="s">
        <v>27</v>
      </c>
      <c r="L226" s="33" t="s">
        <v>226</v>
      </c>
      <c r="M226" s="49" t="s">
        <v>27</v>
      </c>
      <c r="N226" s="49" t="s">
        <v>27</v>
      </c>
      <c r="O226" s="123">
        <v>0</v>
      </c>
      <c r="P226" s="123">
        <v>0</v>
      </c>
      <c r="Q226" s="124">
        <v>6300</v>
      </c>
      <c r="R226" s="127">
        <v>6300</v>
      </c>
      <c r="S226" s="127">
        <v>6300</v>
      </c>
      <c r="T226" s="127">
        <v>0</v>
      </c>
      <c r="U226" s="126">
        <v>0</v>
      </c>
      <c r="V226" s="123">
        <v>0</v>
      </c>
      <c r="W226" s="127">
        <f>SUM(Q226:U226)</f>
        <v>18900</v>
      </c>
      <c r="X226" s="143">
        <f>SUM(O226:V226)</f>
        <v>18900</v>
      </c>
      <c r="Y226" s="26" t="s">
        <v>338</v>
      </c>
      <c r="Z226" s="60" t="s">
        <v>286</v>
      </c>
      <c r="AA226" s="28" t="s">
        <v>335</v>
      </c>
    </row>
    <row r="227" spans="1:28" s="18" customFormat="1" ht="30" customHeight="1" x14ac:dyDescent="0.45">
      <c r="A227" s="29">
        <v>235</v>
      </c>
      <c r="B227" s="73">
        <v>1411</v>
      </c>
      <c r="C227" s="74" t="s">
        <v>331</v>
      </c>
      <c r="D227" s="73">
        <f>VLOOKUP(PhasesTable[[#This Row],[CIP '#]],ProjectsTable[[CIP '#]:[Project Classification 3]],5,FALSE)</f>
        <v>222</v>
      </c>
      <c r="E227" s="73">
        <f>VLOOKUP(PhasesTable[[#This Row],[CIP '#]],ProjectsTable[[CIP '#]:[Project Classification 3]],6,FALSE)</f>
        <v>222007</v>
      </c>
      <c r="F227" s="33" t="s">
        <v>119</v>
      </c>
      <c r="G227" s="65" t="str">
        <f>VLOOKUP(PhasesTable[[#This Row],[CIP '#]],ProjectsTable[[CIP '#]:[Project Classification 3]],8,FALSE)</f>
        <v>Wastewater</v>
      </c>
      <c r="H227" s="65" t="str">
        <f>VLOOKUP(PhasesTable[[#This Row],[CIP '#]],ProjectsTable[[CIP '#]:[Project Classification 3]],9,FALSE)</f>
        <v>Field Services</v>
      </c>
      <c r="I227" s="89" t="str">
        <f>VLOOKUP(PhasesTable[[#This Row],[CIP '#]],ProjectsTable[[CIP '#]:[Project Classification 3]],10,FALSE)</f>
        <v>Interceptors</v>
      </c>
      <c r="J227" s="33" t="s">
        <v>206</v>
      </c>
      <c r="K227" s="33" t="s">
        <v>27</v>
      </c>
      <c r="L227" s="33" t="s">
        <v>226</v>
      </c>
      <c r="M227" s="49" t="s">
        <v>27</v>
      </c>
      <c r="N227" s="49" t="s">
        <v>27</v>
      </c>
      <c r="O227" s="123">
        <v>0</v>
      </c>
      <c r="P227" s="123">
        <v>0</v>
      </c>
      <c r="Q227" s="124">
        <v>700</v>
      </c>
      <c r="R227" s="127">
        <v>700</v>
      </c>
      <c r="S227" s="127">
        <v>700</v>
      </c>
      <c r="T227" s="127">
        <v>0</v>
      </c>
      <c r="U227" s="126">
        <v>0</v>
      </c>
      <c r="V227" s="123">
        <v>0</v>
      </c>
      <c r="W227" s="127">
        <f>SUM(Q227:U227)</f>
        <v>2100</v>
      </c>
      <c r="X227" s="143">
        <f>SUM(O227:V227)</f>
        <v>2100</v>
      </c>
      <c r="Y227" s="26" t="s">
        <v>338</v>
      </c>
      <c r="Z227" s="60" t="s">
        <v>286</v>
      </c>
      <c r="AA227" s="28" t="s">
        <v>335</v>
      </c>
    </row>
    <row r="228" spans="1:28" s="91" customFormat="1" ht="42.75" x14ac:dyDescent="0.45">
      <c r="A228" s="37">
        <v>211</v>
      </c>
      <c r="B228" s="85">
        <v>1412</v>
      </c>
      <c r="C228" s="86" t="s">
        <v>332</v>
      </c>
      <c r="D228" s="85">
        <f>VLOOKUP(PhasesTable[[#This Row],[CIP '#]],ProjectsTable[[CIP '#]:[Project Classification 3]],5,FALSE)</f>
        <v>114</v>
      </c>
      <c r="E228" s="85">
        <f>VLOOKUP(PhasesTable[[#This Row],[CIP '#]],ProjectsTable[[CIP '#]:[Project Classification 3]],6,FALSE)</f>
        <v>114015</v>
      </c>
      <c r="F228" s="40" t="s">
        <v>24</v>
      </c>
      <c r="G228" s="53" t="str">
        <f>VLOOKUP(PhasesTable[[#This Row],[CIP '#]],ProjectsTable[[CIP '#]:[Project Classification 3]],8,FALSE)</f>
        <v>Water</v>
      </c>
      <c r="H228" s="53" t="str">
        <f>VLOOKUP(PhasesTable[[#This Row],[CIP '#]],ProjectsTable[[CIP '#]:[Project Classification 3]],9,FALSE)</f>
        <v>Treatment Plants &amp; Facilities</v>
      </c>
      <c r="I228" s="87" t="str">
        <f>VLOOKUP(PhasesTable[[#This Row],[CIP '#]],ProjectsTable[[CIP '#]:[Project Classification 3]],10,FALSE)</f>
        <v>Springwells</v>
      </c>
      <c r="J228" s="40" t="s">
        <v>201</v>
      </c>
      <c r="K228" s="40" t="s">
        <v>27</v>
      </c>
      <c r="L228" s="40" t="s">
        <v>226</v>
      </c>
      <c r="M228" s="42" t="s">
        <v>27</v>
      </c>
      <c r="N228" s="42" t="s">
        <v>27</v>
      </c>
      <c r="O228" s="130">
        <v>0</v>
      </c>
      <c r="P228" s="130">
        <v>250</v>
      </c>
      <c r="Q228" s="131">
        <v>1750</v>
      </c>
      <c r="R228" s="134">
        <v>0</v>
      </c>
      <c r="S228" s="134">
        <v>0</v>
      </c>
      <c r="T228" s="134">
        <v>0</v>
      </c>
      <c r="U228" s="133">
        <v>0</v>
      </c>
      <c r="V228" s="130">
        <v>0</v>
      </c>
      <c r="W228" s="134">
        <f>SUM(Q228:U228)</f>
        <v>1750</v>
      </c>
      <c r="X228" s="148">
        <f>SUM(O228:V228)</f>
        <v>2000</v>
      </c>
      <c r="Y228" s="15" t="s">
        <v>338</v>
      </c>
      <c r="Z228" s="54" t="s">
        <v>286</v>
      </c>
      <c r="AA228" s="17" t="s">
        <v>335</v>
      </c>
      <c r="AB228" s="90"/>
    </row>
    <row r="229" spans="1:28" s="91" customFormat="1" ht="42.75" x14ac:dyDescent="0.45">
      <c r="A229" s="51">
        <v>212</v>
      </c>
      <c r="B229" s="85">
        <v>1412</v>
      </c>
      <c r="C229" s="86" t="s">
        <v>332</v>
      </c>
      <c r="D229" s="85">
        <f>VLOOKUP(PhasesTable[[#This Row],[CIP '#]],ProjectsTable[[CIP '#]:[Project Classification 3]],5,FALSE)</f>
        <v>114</v>
      </c>
      <c r="E229" s="85">
        <f>VLOOKUP(PhasesTable[[#This Row],[CIP '#]],ProjectsTable[[CIP '#]:[Project Classification 3]],6,FALSE)</f>
        <v>114015</v>
      </c>
      <c r="F229" s="40" t="s">
        <v>24</v>
      </c>
      <c r="G229" s="53" t="str">
        <f>VLOOKUP(PhasesTable[[#This Row],[CIP '#]],ProjectsTable[[CIP '#]:[Project Classification 3]],8,FALSE)</f>
        <v>Water</v>
      </c>
      <c r="H229" s="53" t="str">
        <f>VLOOKUP(PhasesTable[[#This Row],[CIP '#]],ProjectsTable[[CIP '#]:[Project Classification 3]],9,FALSE)</f>
        <v>Treatment Plants &amp; Facilities</v>
      </c>
      <c r="I229" s="87" t="str">
        <f>VLOOKUP(PhasesTable[[#This Row],[CIP '#]],ProjectsTable[[CIP '#]:[Project Classification 3]],10,FALSE)</f>
        <v>Springwells</v>
      </c>
      <c r="J229" s="40" t="s">
        <v>206</v>
      </c>
      <c r="K229" s="40" t="s">
        <v>27</v>
      </c>
      <c r="L229" s="40" t="s">
        <v>226</v>
      </c>
      <c r="M229" s="42" t="s">
        <v>27</v>
      </c>
      <c r="N229" s="42" t="s">
        <v>27</v>
      </c>
      <c r="O229" s="130">
        <v>0</v>
      </c>
      <c r="P229" s="130">
        <v>250</v>
      </c>
      <c r="Q229" s="131">
        <v>250</v>
      </c>
      <c r="R229" s="134">
        <v>0</v>
      </c>
      <c r="S229" s="134">
        <v>0</v>
      </c>
      <c r="T229" s="134">
        <v>0</v>
      </c>
      <c r="U229" s="133">
        <v>0</v>
      </c>
      <c r="V229" s="130">
        <v>0</v>
      </c>
      <c r="W229" s="134">
        <f>SUM(Q229:U229)</f>
        <v>250</v>
      </c>
      <c r="X229" s="148">
        <f>SUM(O229:V229)</f>
        <v>500</v>
      </c>
      <c r="Y229" s="15" t="s">
        <v>338</v>
      </c>
      <c r="Z229" s="54" t="s">
        <v>286</v>
      </c>
      <c r="AA229" s="17" t="s">
        <v>335</v>
      </c>
      <c r="AB229" s="90"/>
    </row>
    <row r="230" spans="1:28" s="93" customFormat="1" ht="28.5" x14ac:dyDescent="0.45">
      <c r="A230" s="9">
        <v>44</v>
      </c>
      <c r="B230" s="10" t="s">
        <v>94</v>
      </c>
      <c r="C230" s="11" t="s">
        <v>95</v>
      </c>
      <c r="D230" s="9">
        <f>VLOOKUP(PhasesTable[[#This Row],[CIP '#]],ProjectsTable[[CIP '#]:[Project Classification 3]],5,FALSE)</f>
        <v>122</v>
      </c>
      <c r="E230" s="9">
        <f>VLOOKUP(PhasesTable[[#This Row],[CIP '#]],ProjectsTable[[CIP '#]:[Project Classification 3]],6,FALSE)</f>
        <v>122014</v>
      </c>
      <c r="F230" s="12" t="s">
        <v>24</v>
      </c>
      <c r="G230" s="13" t="str">
        <f>VLOOKUP(PhasesTable[[#This Row],[CIP '#]],ProjectsTable[[CIP '#]:[Project Classification 3]],8,FALSE)</f>
        <v>Water</v>
      </c>
      <c r="H230" s="12" t="str">
        <f>VLOOKUP(PhasesTable[[#This Row],[CIP '#]],ProjectsTable[[CIP '#]:[Project Classification 3]],9,FALSE)</f>
        <v>Field Services</v>
      </c>
      <c r="I230" s="13" t="str">
        <f>VLOOKUP(PhasesTable[[#This Row],[CIP '#]],ProjectsTable[[CIP '#]:[Project Classification 3]],10,FALSE)</f>
        <v>Transmission System</v>
      </c>
      <c r="J230" s="13" t="s">
        <v>201</v>
      </c>
      <c r="K230" s="12" t="s">
        <v>232</v>
      </c>
      <c r="L230" s="13" t="s">
        <v>214</v>
      </c>
      <c r="M230" s="14">
        <v>42436</v>
      </c>
      <c r="N230" s="14" t="s">
        <v>30</v>
      </c>
      <c r="O230" s="110">
        <v>1020.801</v>
      </c>
      <c r="P230" s="111">
        <v>3514</v>
      </c>
      <c r="Q230" s="112">
        <v>0</v>
      </c>
      <c r="R230" s="113">
        <v>0</v>
      </c>
      <c r="S230" s="113">
        <v>0</v>
      </c>
      <c r="T230" s="113">
        <v>0</v>
      </c>
      <c r="U230" s="114">
        <v>0</v>
      </c>
      <c r="V230" s="111">
        <v>0</v>
      </c>
      <c r="W230" s="115">
        <f>SUM(Q230:U230)</f>
        <v>0</v>
      </c>
      <c r="X230" s="116">
        <f>SUM(O230:V230)</f>
        <v>4534.8010000000004</v>
      </c>
      <c r="Y230" s="15" t="s">
        <v>338</v>
      </c>
      <c r="Z230" s="47" t="s">
        <v>286</v>
      </c>
      <c r="AA230" s="17" t="s">
        <v>335</v>
      </c>
      <c r="AB230" s="92"/>
    </row>
    <row r="231" spans="1:28" s="93" customFormat="1" ht="28.5" x14ac:dyDescent="0.45">
      <c r="A231" s="9">
        <v>45</v>
      </c>
      <c r="B231" s="10" t="s">
        <v>277</v>
      </c>
      <c r="C231" s="11" t="s">
        <v>334</v>
      </c>
      <c r="D231" s="9">
        <f>VLOOKUP(PhasesTable[[#This Row],[CIP '#]],ProjectsTable[[CIP '#]:[Project Classification 3]],5,FALSE)</f>
        <v>122</v>
      </c>
      <c r="E231" s="9">
        <f>VLOOKUP(PhasesTable[[#This Row],[CIP '#]],ProjectsTable[[CIP '#]:[Project Classification 3]],6,FALSE)</f>
        <v>122015</v>
      </c>
      <c r="F231" s="12" t="s">
        <v>24</v>
      </c>
      <c r="G231" s="81" t="str">
        <f>VLOOKUP(PhasesTable[[#This Row],[CIP '#]],ProjectsTable[[CIP '#]:[Project Classification 3]],8,FALSE)</f>
        <v>Water</v>
      </c>
      <c r="H231" s="82" t="str">
        <f>VLOOKUP(PhasesTable[[#This Row],[CIP '#]],ProjectsTable[[CIP '#]:[Project Classification 3]],9,FALSE)</f>
        <v>Field Services</v>
      </c>
      <c r="I231" s="81" t="str">
        <f>VLOOKUP(PhasesTable[[#This Row],[CIP '#]],ProjectsTable[[CIP '#]:[Project Classification 3]],10,FALSE)</f>
        <v>Transmission System</v>
      </c>
      <c r="J231" s="13" t="s">
        <v>201</v>
      </c>
      <c r="K231" s="12" t="s">
        <v>278</v>
      </c>
      <c r="L231" s="13" t="s">
        <v>226</v>
      </c>
      <c r="M231" s="14" t="s">
        <v>27</v>
      </c>
      <c r="N231" s="14" t="s">
        <v>27</v>
      </c>
      <c r="O231" s="146">
        <v>0</v>
      </c>
      <c r="P231" s="111">
        <v>2327</v>
      </c>
      <c r="Q231" s="112">
        <v>0</v>
      </c>
      <c r="R231" s="113">
        <v>0</v>
      </c>
      <c r="S231" s="113">
        <v>0</v>
      </c>
      <c r="T231" s="113">
        <v>0</v>
      </c>
      <c r="U231" s="114">
        <v>0</v>
      </c>
      <c r="V231" s="111">
        <v>0</v>
      </c>
      <c r="W231" s="115">
        <f>SUM(Q231:U231)</f>
        <v>0</v>
      </c>
      <c r="X231" s="116">
        <f>SUM(O231:V231)</f>
        <v>2327</v>
      </c>
      <c r="Y231" s="15" t="s">
        <v>338</v>
      </c>
      <c r="Z231" s="47" t="s">
        <v>286</v>
      </c>
      <c r="AA231" s="17" t="s">
        <v>335</v>
      </c>
      <c r="AB231" s="92"/>
    </row>
    <row r="232" spans="1:28" s="94" customFormat="1" ht="18.399999999999999" customHeight="1" x14ac:dyDescent="0.45">
      <c r="B232" s="95"/>
      <c r="C232" s="95"/>
      <c r="D232" s="95"/>
      <c r="E232" s="95"/>
      <c r="G232" s="96"/>
      <c r="H232" s="96"/>
      <c r="I232" s="97"/>
      <c r="J232" s="98"/>
      <c r="K232" s="98"/>
      <c r="L232" s="98"/>
      <c r="M232" s="99"/>
      <c r="N232" s="99"/>
      <c r="O232" s="149">
        <f>SUBTOTAL(109,PhasesTable[Lifetime Actual Thru FY 2016 (Unaudited)])</f>
        <v>469413.29980339995</v>
      </c>
      <c r="P232" s="149">
        <f>SUBTOTAL(109,PhasesTable[Projected Expenditures FY 2017])</f>
        <v>139469.40611000001</v>
      </c>
      <c r="Q232" s="149">
        <f>SUBTOTAL(109,PhasesTable[Projected Expenditures FY 2018])</f>
        <v>298401</v>
      </c>
      <c r="R232" s="149">
        <f>SUBTOTAL(109,PhasesTable[Projected Expenditures FY 2019])</f>
        <v>391582.33</v>
      </c>
      <c r="S232" s="149">
        <f>SUBTOTAL(109,PhasesTable[Projected Expenditures FY 2020])</f>
        <v>387053</v>
      </c>
      <c r="T232" s="149">
        <f>SUBTOTAL(109,PhasesTable[Projected Expenditures FY 2021])</f>
        <v>256747</v>
      </c>
      <c r="U232" s="149">
        <f>SUBTOTAL(109,PhasesTable[Projected Expenditures FY 2022])</f>
        <v>219550</v>
      </c>
      <c r="V232" s="149">
        <f>SUBTOTAL(109,PhasesTable[Projected Expenditures FY 2023 &amp; Beyond])</f>
        <v>122379</v>
      </c>
      <c r="W232" s="149">
        <f>SUBTOTAL(109,PhasesTable[2018-2022 CIP Total])</f>
        <v>1553333.33</v>
      </c>
      <c r="X232" s="149">
        <f>SUBTOTAL(109,PhasesTable[Project Total])</f>
        <v>2284595.0359134004</v>
      </c>
      <c r="Y232" s="100"/>
      <c r="Z232" s="101"/>
      <c r="AA232" s="102"/>
    </row>
    <row r="233" spans="1:28" x14ac:dyDescent="0.45">
      <c r="D233" s="104"/>
      <c r="Q233" s="105"/>
      <c r="R233" s="105"/>
      <c r="S233" s="105"/>
      <c r="T233" s="105"/>
      <c r="U233" s="105"/>
      <c r="V233" s="105"/>
      <c r="W233" s="105"/>
      <c r="X233" s="105"/>
    </row>
    <row r="234" spans="1:28" x14ac:dyDescent="0.45">
      <c r="D234" s="104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8" x14ac:dyDescent="0.45">
      <c r="D235" s="104"/>
      <c r="X235" s="105"/>
    </row>
    <row r="236" spans="1:28" x14ac:dyDescent="0.45">
      <c r="D236" s="104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8" spans="1:28" x14ac:dyDescent="0.45">
      <c r="D238" s="104"/>
      <c r="X238" s="105"/>
    </row>
    <row r="239" spans="1:28" x14ac:dyDescent="0.45">
      <c r="D239" s="104"/>
    </row>
    <row r="240" spans="1:28" x14ac:dyDescent="0.45">
      <c r="D240" s="104"/>
    </row>
    <row r="241" spans="4:4" x14ac:dyDescent="0.45">
      <c r="D241" s="104"/>
    </row>
  </sheetData>
  <sheetProtection algorithmName="SHA-512" hashValue="aIzB34keh0FUZGJ+WBlJzKGkuJigDi2+9vZNYGi1QPYzpSnPGNprlCTuVEKhZJ/2qTsviuw5KQnF0skcCjpg4Q==" saltValue="CunmLrBHlVw2rXf9mKO6uA==" spinCount="100000" sheet="1" objects="1" scenarios="1" formatCells="0" formatColumns="0" formatRows="0" selectLockedCells="1" sort="0" autoFilter="0"/>
  <protectedRanges>
    <protectedRange sqref="B2:AA232" name="Range1"/>
  </protectedRanges>
  <pageMargins left="0.2" right="0.2" top="0.25" bottom="0.25" header="0.3" footer="0.3"/>
  <pageSetup paperSize="5" scale="4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Projects</vt:lpstr>
      <vt:lpstr>Phases</vt:lpstr>
      <vt:lpstr>Phases!Print_Area</vt:lpstr>
      <vt:lpstr>Phases!Print_Titles</vt:lpstr>
    </vt:vector>
  </TitlesOfParts>
  <Manager/>
  <Company>OHM Advisors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Slabaugh</dc:creator>
  <cp:keywords/>
  <dc:description/>
  <cp:lastModifiedBy>Jody Caldwell</cp:lastModifiedBy>
  <cp:revision/>
  <cp:lastPrinted>2017-06-29T13:39:26Z</cp:lastPrinted>
  <dcterms:created xsi:type="dcterms:W3CDTF">2016-11-10T18:26:41Z</dcterms:created>
  <dcterms:modified xsi:type="dcterms:W3CDTF">2017-07-06T19:50:00Z</dcterms:modified>
  <cp:category/>
  <cp:contentStatus/>
</cp:coreProperties>
</file>